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8.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9.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10.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srv44\profiles$\JB\Desktop\Water Submissions\"/>
    </mc:Choice>
  </mc:AlternateContent>
  <bookViews>
    <workbookView xWindow="0" yWindow="0" windowWidth="28800" windowHeight="11610"/>
  </bookViews>
  <sheets>
    <sheet name="Burdekin DS" sheetId="13" r:id="rId1"/>
    <sheet name="Dawson_QCA" sheetId="11" r:id="rId2"/>
    <sheet name="Bundaberg DS" sheetId="10" r:id="rId3"/>
    <sheet name="Barker Barambah" sheetId="9" r:id="rId4"/>
    <sheet name="Lower Mary" sheetId="7" r:id="rId5"/>
    <sheet name="Mareeba DS" sheetId="6" r:id="rId6"/>
    <sheet name="Bowen Broken" sheetId="2" r:id="rId7"/>
    <sheet name="Eton DS" sheetId="4" r:id="rId8"/>
    <sheet name="Three Moon Creek" sheetId="5" r:id="rId9"/>
    <sheet name="Upper Condamine" sheetId="8" r:id="rId10"/>
  </sheets>
  <externalReferences>
    <externalReference r:id="rId11"/>
    <externalReference r:id="rId12"/>
  </externalReferences>
  <definedNames>
    <definedName name="DataSite" localSheetId="3">#REF!</definedName>
    <definedName name="DataSite" localSheetId="1">#REF!</definedName>
    <definedName name="DataSite" localSheetId="5">#REF!</definedName>
    <definedName name="DataSite" localSheetId="8">#REF!</definedName>
    <definedName name="DataSite" localSheetId="9">#REF!</definedName>
    <definedName name="DataSite">#REF!</definedName>
    <definedName name="HaughtonPS_Date" localSheetId="3">#REF!</definedName>
    <definedName name="HaughtonPS_Date" localSheetId="6">#REF!</definedName>
    <definedName name="HaughtonPS_Date" localSheetId="2">[1]IsisPS!$B$32:$B$109</definedName>
    <definedName name="HaughtonPS_Date" localSheetId="0">[2]HaughtonPS!$B$32:$B$109</definedName>
    <definedName name="HaughtonPS_Date" localSheetId="1">#REF!</definedName>
    <definedName name="HaughtonPS_Date" localSheetId="7">#REF!</definedName>
    <definedName name="HaughtonPS_Date" localSheetId="4">#REF!</definedName>
    <definedName name="HaughtonPS_Date" localSheetId="5">#REF!</definedName>
    <definedName name="HaughtonPS_Date" localSheetId="8">#REF!</definedName>
    <definedName name="HaughtonPS_Date" localSheetId="9">#REF!</definedName>
    <definedName name="HaughtonPS_Date">#REF!</definedName>
    <definedName name="MILLAROOA_PS" localSheetId="3">#REF!</definedName>
    <definedName name="MILLAROOA_PS" localSheetId="6">#REF!</definedName>
    <definedName name="MILLAROOA_PS" localSheetId="2">#REF!</definedName>
    <definedName name="MILLAROOA_PS" localSheetId="0">'[2] MILLAROO ‘A’ PS'!$B$32:$B$98</definedName>
    <definedName name="MILLAROOA_PS" localSheetId="1">#REF!</definedName>
    <definedName name="MILLAROOA_PS" localSheetId="7">#REF!</definedName>
    <definedName name="MILLAROOA_PS" localSheetId="4">#REF!</definedName>
    <definedName name="MILLAROOA_PS" localSheetId="5">#REF!</definedName>
    <definedName name="MILLAROOA_PS" localSheetId="8">#REF!</definedName>
    <definedName name="MILLAROOA_PS" localSheetId="9">#REF!</definedName>
    <definedName name="MILLAROOA_PS">#REF!</definedName>
    <definedName name="MonthSite" localSheetId="3">#REF!</definedName>
    <definedName name="MonthSite" localSheetId="1">#REF!</definedName>
    <definedName name="MonthSite" localSheetId="5">#REF!</definedName>
    <definedName name="MonthSite" localSheetId="8">#REF!</definedName>
    <definedName name="MonthSite" localSheetId="9">#REF!</definedName>
    <definedName name="MonthSite">#REF!</definedName>
    <definedName name="p">#REF!</definedName>
    <definedName name="YearSite" localSheetId="3">#REF!</definedName>
    <definedName name="YearSite" localSheetId="1">#REF!</definedName>
    <definedName name="YearSite" localSheetId="5">#REF!</definedName>
    <definedName name="YearSite" localSheetId="8">#REF!</definedName>
    <definedName name="YearSite" localSheetId="9">#REF!</definedName>
    <definedName name="YearSi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4" l="1"/>
  <c r="F11" i="4"/>
  <c r="G10" i="4"/>
  <c r="F10" i="4"/>
  <c r="G9" i="4"/>
  <c r="F9" i="4"/>
  <c r="G8" i="4"/>
  <c r="F8" i="4"/>
  <c r="G7" i="4"/>
  <c r="F7" i="4"/>
  <c r="G11" i="6"/>
  <c r="F11" i="6"/>
  <c r="G10" i="6"/>
  <c r="F10" i="6"/>
  <c r="G9" i="6"/>
  <c r="F9" i="6"/>
  <c r="G8" i="6"/>
  <c r="F8" i="6"/>
  <c r="G7" i="6"/>
  <c r="F7" i="6"/>
  <c r="G11" i="7"/>
  <c r="F11" i="7"/>
  <c r="G10" i="7"/>
  <c r="F10" i="7"/>
  <c r="G9" i="7"/>
  <c r="F9" i="7"/>
  <c r="G8" i="7"/>
  <c r="F8" i="7"/>
  <c r="G7" i="7"/>
  <c r="F7" i="7"/>
  <c r="G11" i="10"/>
  <c r="F11" i="10"/>
  <c r="G10" i="10"/>
  <c r="F10" i="10"/>
  <c r="G9" i="10"/>
  <c r="F9" i="10"/>
  <c r="G8" i="10"/>
  <c r="F8" i="10"/>
  <c r="G7" i="10"/>
  <c r="F7" i="10"/>
  <c r="H11" i="13"/>
  <c r="G11" i="13"/>
  <c r="H10" i="13"/>
  <c r="G10" i="13"/>
  <c r="H9" i="13"/>
  <c r="G9" i="13"/>
  <c r="H8" i="13"/>
  <c r="G8" i="13"/>
  <c r="H7" i="13"/>
  <c r="G7" i="13"/>
  <c r="G11" i="5" l="1"/>
  <c r="G10" i="5"/>
  <c r="G9" i="5"/>
  <c r="G8" i="5"/>
  <c r="G7" i="5"/>
  <c r="F7" i="5"/>
  <c r="F11" i="8"/>
  <c r="F10" i="8"/>
  <c r="F9" i="8"/>
  <c r="F8" i="8"/>
  <c r="F7" i="8"/>
  <c r="F11" i="5"/>
  <c r="F10" i="5"/>
  <c r="F9" i="5"/>
  <c r="F8" i="5"/>
  <c r="L22" i="2" l="1"/>
  <c r="L21" i="2"/>
  <c r="L20" i="2"/>
  <c r="L19" i="2"/>
  <c r="L18" i="2"/>
  <c r="E18" i="2"/>
  <c r="E18" i="7"/>
  <c r="F11" i="2"/>
  <c r="F10" i="2"/>
  <c r="F9" i="2"/>
  <c r="F8" i="2"/>
  <c r="F7" i="2"/>
  <c r="F7" i="9" l="1"/>
  <c r="F11" i="9"/>
  <c r="F10" i="9"/>
  <c r="F9" i="9"/>
  <c r="F8" i="9"/>
  <c r="G11" i="11"/>
  <c r="G10" i="11"/>
  <c r="G9" i="11"/>
  <c r="G8" i="11"/>
  <c r="G7" i="11"/>
  <c r="F11" i="11"/>
  <c r="F10" i="11"/>
  <c r="F9" i="11"/>
  <c r="F8" i="11"/>
  <c r="F7" i="11"/>
  <c r="J19" i="13" l="1"/>
  <c r="J20" i="13" s="1"/>
  <c r="N11" i="13"/>
  <c r="I10" i="13"/>
  <c r="N10" i="13"/>
  <c r="N9" i="13"/>
  <c r="I8" i="13"/>
  <c r="E13" i="13"/>
  <c r="I7" i="13"/>
  <c r="E19" i="13"/>
  <c r="G13" i="13"/>
  <c r="N7" i="13"/>
  <c r="D13" i="13"/>
  <c r="J21" i="13" l="1"/>
  <c r="K20" i="13"/>
  <c r="K7" i="13"/>
  <c r="F13" i="13"/>
  <c r="F15" i="13" s="1"/>
  <c r="K19" i="13"/>
  <c r="N8" i="13"/>
  <c r="I9" i="13"/>
  <c r="I11" i="13"/>
  <c r="H13" i="13"/>
  <c r="I13" i="13" l="1"/>
  <c r="K8" i="13"/>
  <c r="L7" i="13"/>
  <c r="K21" i="13"/>
  <c r="J22" i="13"/>
  <c r="J10" i="13" l="1"/>
  <c r="D20" i="13"/>
  <c r="J8" i="13"/>
  <c r="J11" i="13"/>
  <c r="J7" i="13"/>
  <c r="J9" i="13"/>
  <c r="K22" i="13"/>
  <c r="J23" i="13"/>
  <c r="K23" i="13" s="1"/>
  <c r="O7" i="13"/>
  <c r="M7" i="13"/>
  <c r="L8" i="13"/>
  <c r="K9" i="13"/>
  <c r="K10" i="13" l="1"/>
  <c r="L9" i="13"/>
  <c r="M8" i="13"/>
  <c r="O8" i="13"/>
  <c r="D21" i="13"/>
  <c r="D22" i="13"/>
  <c r="D23" i="13"/>
  <c r="K11" i="13" l="1"/>
  <c r="L11" i="13" s="1"/>
  <c r="L10" i="13"/>
  <c r="O9" i="13"/>
  <c r="M9" i="13"/>
  <c r="O11" i="13" l="1"/>
  <c r="M11" i="13"/>
  <c r="L22" i="13"/>
  <c r="M22" i="13" s="1"/>
  <c r="L19" i="13"/>
  <c r="M19" i="13" s="1"/>
  <c r="L23" i="13"/>
  <c r="M23" i="13" s="1"/>
  <c r="E20" i="13"/>
  <c r="F20" i="13" s="1"/>
  <c r="L20" i="13"/>
  <c r="M20" i="13" s="1"/>
  <c r="L21" i="13"/>
  <c r="M21" i="13" s="1"/>
  <c r="O10" i="13"/>
  <c r="E23" i="13" s="1"/>
  <c r="M10" i="13"/>
  <c r="E21" i="13" l="1"/>
  <c r="F21" i="13"/>
  <c r="F22" i="13"/>
  <c r="F23" i="13"/>
  <c r="E22" i="13"/>
  <c r="L22" i="8" l="1"/>
  <c r="L21" i="8"/>
  <c r="L20" i="8"/>
  <c r="L19" i="8"/>
  <c r="E19" i="8"/>
  <c r="F19" i="8" s="1"/>
  <c r="L18" i="8"/>
  <c r="J18" i="8"/>
  <c r="J19" i="8" s="1"/>
  <c r="E18" i="8"/>
  <c r="I7" i="8" s="1"/>
  <c r="J7" i="8" s="1"/>
  <c r="F12" i="8"/>
  <c r="E12" i="8"/>
  <c r="F14" i="8" s="1"/>
  <c r="D12" i="8"/>
  <c r="K11" i="8"/>
  <c r="G11" i="8"/>
  <c r="K10" i="8"/>
  <c r="G10" i="8"/>
  <c r="K9" i="8"/>
  <c r="G9" i="8"/>
  <c r="K8" i="8"/>
  <c r="G8" i="8"/>
  <c r="K7" i="8"/>
  <c r="G7" i="8"/>
  <c r="J18" i="5"/>
  <c r="K18" i="5" s="1"/>
  <c r="E18" i="5"/>
  <c r="G12" i="5"/>
  <c r="F12" i="5"/>
  <c r="E12" i="5"/>
  <c r="F14" i="5" s="1"/>
  <c r="D12" i="5"/>
  <c r="H11" i="5"/>
  <c r="H10" i="5"/>
  <c r="H9" i="5"/>
  <c r="H8" i="5"/>
  <c r="H7" i="5"/>
  <c r="J18" i="4"/>
  <c r="K18" i="4" s="1"/>
  <c r="F12" i="4"/>
  <c r="E12" i="4"/>
  <c r="F14" i="4" s="1"/>
  <c r="D12" i="4"/>
  <c r="H11" i="4"/>
  <c r="H10" i="4"/>
  <c r="H9" i="4"/>
  <c r="H8" i="4"/>
  <c r="J18" i="2"/>
  <c r="K18" i="2" s="1"/>
  <c r="I7" i="2"/>
  <c r="J7" i="2" s="1"/>
  <c r="K7" i="2" s="1"/>
  <c r="F12" i="2"/>
  <c r="E12" i="2"/>
  <c r="F14" i="2" s="1"/>
  <c r="D12" i="2"/>
  <c r="G11" i="2"/>
  <c r="G10" i="2"/>
  <c r="G9" i="2"/>
  <c r="G8" i="2"/>
  <c r="G7" i="2"/>
  <c r="J18" i="6"/>
  <c r="J19" i="6" s="1"/>
  <c r="E18" i="6"/>
  <c r="G12" i="6"/>
  <c r="F12" i="6"/>
  <c r="E12" i="6"/>
  <c r="F14" i="6" s="1"/>
  <c r="D12" i="6"/>
  <c r="H11" i="6"/>
  <c r="H10" i="6"/>
  <c r="H9" i="6"/>
  <c r="H8" i="6"/>
  <c r="H7" i="6"/>
  <c r="J18" i="7"/>
  <c r="K18" i="7" s="1"/>
  <c r="G12" i="7"/>
  <c r="F12" i="7"/>
  <c r="E12" i="7"/>
  <c r="F14" i="7" s="1"/>
  <c r="D12" i="7"/>
  <c r="H11" i="7"/>
  <c r="H10" i="7"/>
  <c r="H9" i="7"/>
  <c r="H8" i="7"/>
  <c r="H7" i="7"/>
  <c r="L22" i="9"/>
  <c r="L21" i="9"/>
  <c r="L20" i="9"/>
  <c r="L19" i="9"/>
  <c r="E19" i="9"/>
  <c r="F19" i="9" s="1"/>
  <c r="L18" i="9"/>
  <c r="J18" i="9"/>
  <c r="J19" i="9" s="1"/>
  <c r="E18" i="9"/>
  <c r="I7" i="9" s="1"/>
  <c r="J7" i="9" s="1"/>
  <c r="L7" i="9" s="1"/>
  <c r="F12" i="9"/>
  <c r="E12" i="9"/>
  <c r="F14" i="9" s="1"/>
  <c r="D12" i="9"/>
  <c r="K11" i="9"/>
  <c r="G11" i="9"/>
  <c r="K10" i="9"/>
  <c r="G10" i="9"/>
  <c r="K9" i="9"/>
  <c r="G9" i="9"/>
  <c r="K8" i="9"/>
  <c r="G8" i="9"/>
  <c r="K7" i="9"/>
  <c r="G7" i="9"/>
  <c r="J18" i="10"/>
  <c r="J19" i="10" s="1"/>
  <c r="E18" i="10"/>
  <c r="G12" i="10"/>
  <c r="F12" i="10"/>
  <c r="E12" i="10"/>
  <c r="F14" i="10" s="1"/>
  <c r="D12" i="10"/>
  <c r="H11" i="10"/>
  <c r="H10" i="10"/>
  <c r="H9" i="10"/>
  <c r="H8" i="10"/>
  <c r="H7" i="10"/>
  <c r="J18" i="11"/>
  <c r="J19" i="11" s="1"/>
  <c r="E18" i="11"/>
  <c r="G12" i="11"/>
  <c r="F12" i="11"/>
  <c r="E12" i="11"/>
  <c r="F14" i="11" s="1"/>
  <c r="D12" i="11"/>
  <c r="H11" i="11"/>
  <c r="H10" i="11"/>
  <c r="H9" i="11"/>
  <c r="H8" i="11"/>
  <c r="H7" i="11"/>
  <c r="G12" i="8" l="1"/>
  <c r="J19" i="2"/>
  <c r="K19" i="2" s="1"/>
  <c r="K18" i="6"/>
  <c r="H12" i="10"/>
  <c r="D19" i="10" s="1"/>
  <c r="H10" i="8"/>
  <c r="H7" i="8"/>
  <c r="H11" i="8"/>
  <c r="M19" i="2"/>
  <c r="L7" i="8"/>
  <c r="H12" i="6"/>
  <c r="I7" i="6" s="1"/>
  <c r="J19" i="5"/>
  <c r="H12" i="11"/>
  <c r="I10" i="11" s="1"/>
  <c r="H12" i="5"/>
  <c r="I11" i="5" s="1"/>
  <c r="M18" i="2"/>
  <c r="J20" i="8"/>
  <c r="K19" i="8"/>
  <c r="M19" i="8" s="1"/>
  <c r="H9" i="8"/>
  <c r="K18" i="8"/>
  <c r="M18" i="8" s="1"/>
  <c r="H8" i="8"/>
  <c r="I8" i="8"/>
  <c r="D19" i="8"/>
  <c r="J7" i="5"/>
  <c r="G12" i="4"/>
  <c r="H7" i="4"/>
  <c r="H12" i="7"/>
  <c r="I10" i="7" s="1"/>
  <c r="K19" i="10"/>
  <c r="J20" i="10"/>
  <c r="K18" i="10"/>
  <c r="K19" i="11"/>
  <c r="J20" i="11"/>
  <c r="K20" i="11" s="1"/>
  <c r="K18" i="11"/>
  <c r="D19" i="11"/>
  <c r="J7" i="11"/>
  <c r="J7" i="10"/>
  <c r="J20" i="9"/>
  <c r="K19" i="9"/>
  <c r="M19" i="9" s="1"/>
  <c r="I8" i="9"/>
  <c r="K18" i="9"/>
  <c r="M18" i="9" s="1"/>
  <c r="G12" i="9"/>
  <c r="J19" i="7"/>
  <c r="J7" i="7"/>
  <c r="K19" i="6"/>
  <c r="J20" i="6"/>
  <c r="J7" i="6"/>
  <c r="I8" i="2"/>
  <c r="G12" i="2"/>
  <c r="D19" i="2" s="1"/>
  <c r="J20" i="2"/>
  <c r="E18" i="4"/>
  <c r="J19" i="4"/>
  <c r="I9" i="10" l="1"/>
  <c r="I7" i="10"/>
  <c r="I8" i="10"/>
  <c r="I11" i="10"/>
  <c r="I10" i="10"/>
  <c r="D22" i="10" s="1"/>
  <c r="H12" i="4"/>
  <c r="I10" i="4" s="1"/>
  <c r="J11" i="4" s="1"/>
  <c r="L11" i="4" s="1"/>
  <c r="I8" i="5"/>
  <c r="I10" i="5"/>
  <c r="D19" i="5"/>
  <c r="I9" i="5"/>
  <c r="I7" i="5"/>
  <c r="D21" i="8"/>
  <c r="D22" i="8"/>
  <c r="D20" i="8"/>
  <c r="I11" i="6"/>
  <c r="D19" i="6"/>
  <c r="I11" i="7"/>
  <c r="D19" i="7"/>
  <c r="I7" i="11"/>
  <c r="I10" i="6"/>
  <c r="I9" i="7"/>
  <c r="I9" i="11"/>
  <c r="K19" i="5"/>
  <c r="J20" i="5"/>
  <c r="I8" i="11"/>
  <c r="D22" i="11" s="1"/>
  <c r="I8" i="7"/>
  <c r="J21" i="11"/>
  <c r="K21" i="11" s="1"/>
  <c r="I7" i="7"/>
  <c r="I11" i="11"/>
  <c r="I8" i="6"/>
  <c r="I9" i="6"/>
  <c r="D19" i="4"/>
  <c r="K20" i="8"/>
  <c r="M20" i="8" s="1"/>
  <c r="J21" i="8"/>
  <c r="J8" i="8"/>
  <c r="L8" i="8" s="1"/>
  <c r="I9" i="8"/>
  <c r="J8" i="5"/>
  <c r="K7" i="5"/>
  <c r="K20" i="10"/>
  <c r="J21" i="10"/>
  <c r="K7" i="11"/>
  <c r="J8" i="11"/>
  <c r="J8" i="10"/>
  <c r="K7" i="10"/>
  <c r="D21" i="10"/>
  <c r="D20" i="10"/>
  <c r="H10" i="9"/>
  <c r="H11" i="9"/>
  <c r="H7" i="9"/>
  <c r="H9" i="9"/>
  <c r="D19" i="9"/>
  <c r="H8" i="9"/>
  <c r="J8" i="9"/>
  <c r="L8" i="9" s="1"/>
  <c r="I9" i="9"/>
  <c r="K20" i="9"/>
  <c r="M20" i="9" s="1"/>
  <c r="J21" i="9"/>
  <c r="K19" i="7"/>
  <c r="J20" i="7"/>
  <c r="K7" i="7"/>
  <c r="J8" i="7"/>
  <c r="K20" i="6"/>
  <c r="J21" i="6"/>
  <c r="J8" i="6"/>
  <c r="K7" i="6"/>
  <c r="K20" i="2"/>
  <c r="M20" i="2" s="1"/>
  <c r="J21" i="2"/>
  <c r="J8" i="2"/>
  <c r="K8" i="2" s="1"/>
  <c r="I9" i="2"/>
  <c r="H10" i="2"/>
  <c r="H9" i="2"/>
  <c r="H11" i="2"/>
  <c r="H7" i="2"/>
  <c r="H8" i="2"/>
  <c r="J7" i="4"/>
  <c r="K7" i="4" s="1"/>
  <c r="K19" i="4"/>
  <c r="J20" i="4"/>
  <c r="K11" i="4" l="1"/>
  <c r="I9" i="4"/>
  <c r="J10" i="4" s="1"/>
  <c r="L10" i="4" s="1"/>
  <c r="I8" i="4"/>
  <c r="J9" i="4" s="1"/>
  <c r="L9" i="4" s="1"/>
  <c r="I11" i="4"/>
  <c r="I7" i="4"/>
  <c r="D21" i="6"/>
  <c r="D20" i="5"/>
  <c r="D22" i="5"/>
  <c r="D21" i="5"/>
  <c r="D20" i="6"/>
  <c r="D20" i="7"/>
  <c r="D22" i="7"/>
  <c r="D21" i="7"/>
  <c r="J22" i="11"/>
  <c r="K22" i="11" s="1"/>
  <c r="D21" i="11"/>
  <c r="D20" i="11"/>
  <c r="K20" i="5"/>
  <c r="J21" i="5"/>
  <c r="D22" i="6"/>
  <c r="K10" i="4"/>
  <c r="D20" i="4"/>
  <c r="J8" i="4"/>
  <c r="L8" i="4" s="1"/>
  <c r="D22" i="4"/>
  <c r="D21" i="4"/>
  <c r="J9" i="8"/>
  <c r="L9" i="8" s="1"/>
  <c r="I10" i="8"/>
  <c r="K21" i="8"/>
  <c r="M21" i="8" s="1"/>
  <c r="J22" i="8"/>
  <c r="K22" i="8" s="1"/>
  <c r="M22" i="8" s="1"/>
  <c r="F22" i="8" s="1"/>
  <c r="K8" i="5"/>
  <c r="J9" i="5"/>
  <c r="L7" i="5"/>
  <c r="J22" i="10"/>
  <c r="K22" i="10" s="1"/>
  <c r="K21" i="10"/>
  <c r="J9" i="11"/>
  <c r="K8" i="11"/>
  <c r="L7" i="11"/>
  <c r="K8" i="10"/>
  <c r="J9" i="10"/>
  <c r="L7" i="10"/>
  <c r="D22" i="9"/>
  <c r="D21" i="9"/>
  <c r="D20" i="9"/>
  <c r="K21" i="9"/>
  <c r="M21" i="9" s="1"/>
  <c r="J22" i="9"/>
  <c r="K22" i="9" s="1"/>
  <c r="M22" i="9" s="1"/>
  <c r="I10" i="9"/>
  <c r="J9" i="9"/>
  <c r="L9" i="9" s="1"/>
  <c r="L7" i="7"/>
  <c r="K20" i="7"/>
  <c r="J21" i="7"/>
  <c r="K8" i="7"/>
  <c r="J9" i="7"/>
  <c r="K8" i="6"/>
  <c r="J9" i="6"/>
  <c r="K21" i="6"/>
  <c r="J22" i="6"/>
  <c r="K22" i="6" s="1"/>
  <c r="L7" i="6"/>
  <c r="I10" i="2"/>
  <c r="J9" i="2"/>
  <c r="K9" i="2" s="1"/>
  <c r="D20" i="2"/>
  <c r="D21" i="2"/>
  <c r="D22" i="2"/>
  <c r="K21" i="2"/>
  <c r="M21" i="2" s="1"/>
  <c r="J22" i="2"/>
  <c r="K22" i="2" s="1"/>
  <c r="M22" i="2" s="1"/>
  <c r="J21" i="4"/>
  <c r="K20" i="4"/>
  <c r="L7" i="4"/>
  <c r="K9" i="4" l="1"/>
  <c r="K21" i="5"/>
  <c r="J22" i="5"/>
  <c r="K22" i="5" s="1"/>
  <c r="K8" i="4"/>
  <c r="I11" i="8"/>
  <c r="J11" i="8" s="1"/>
  <c r="L11" i="8" s="1"/>
  <c r="J10" i="8"/>
  <c r="L10" i="8" s="1"/>
  <c r="F21" i="8"/>
  <c r="F20" i="8"/>
  <c r="K9" i="5"/>
  <c r="J10" i="5"/>
  <c r="L8" i="5"/>
  <c r="F21" i="2"/>
  <c r="K9" i="11"/>
  <c r="J10" i="11"/>
  <c r="L8" i="11"/>
  <c r="L8" i="10"/>
  <c r="J10" i="10"/>
  <c r="K9" i="10"/>
  <c r="I11" i="9"/>
  <c r="J11" i="9" s="1"/>
  <c r="L11" i="9" s="1"/>
  <c r="J10" i="9"/>
  <c r="L10" i="9" s="1"/>
  <c r="E22" i="9" s="1"/>
  <c r="F20" i="9"/>
  <c r="E21" i="9"/>
  <c r="F22" i="9"/>
  <c r="F21" i="9"/>
  <c r="L8" i="7"/>
  <c r="K9" i="7"/>
  <c r="J10" i="7"/>
  <c r="J22" i="7"/>
  <c r="K22" i="7" s="1"/>
  <c r="K21" i="7"/>
  <c r="K9" i="6"/>
  <c r="J10" i="6"/>
  <c r="L8" i="6"/>
  <c r="F20" i="2"/>
  <c r="F22" i="2"/>
  <c r="I11" i="2"/>
  <c r="J11" i="2" s="1"/>
  <c r="K11" i="2" s="1"/>
  <c r="L11" i="2" s="1"/>
  <c r="J10" i="2"/>
  <c r="K10" i="2" s="1"/>
  <c r="L10" i="2" s="1"/>
  <c r="J22" i="4"/>
  <c r="K22" i="4" s="1"/>
  <c r="K21" i="4"/>
  <c r="E19" i="4"/>
  <c r="F19" i="4" s="1"/>
  <c r="M8" i="4"/>
  <c r="L22" i="4"/>
  <c r="M9" i="4"/>
  <c r="N9" i="4" s="1"/>
  <c r="M10" i="4"/>
  <c r="N10" i="4" s="1"/>
  <c r="M7" i="4"/>
  <c r="N7" i="4" s="1"/>
  <c r="L18" i="4"/>
  <c r="M18" i="4" s="1"/>
  <c r="L21" i="4"/>
  <c r="M11" i="4"/>
  <c r="N11" i="4" s="1"/>
  <c r="L19" i="4"/>
  <c r="M19" i="4" s="1"/>
  <c r="L20" i="4"/>
  <c r="M20" i="4" s="1"/>
  <c r="L7" i="2" l="1"/>
  <c r="L8" i="2"/>
  <c r="L9" i="2"/>
  <c r="N8" i="4"/>
  <c r="E22" i="4" s="1"/>
  <c r="M22" i="4"/>
  <c r="E20" i="8"/>
  <c r="E21" i="8"/>
  <c r="E22" i="8"/>
  <c r="J11" i="5"/>
  <c r="K11" i="5" s="1"/>
  <c r="K10" i="5"/>
  <c r="L9" i="5"/>
  <c r="E20" i="9"/>
  <c r="L9" i="11"/>
  <c r="K10" i="11"/>
  <c r="J11" i="11"/>
  <c r="K11" i="11" s="1"/>
  <c r="K10" i="10"/>
  <c r="J11" i="10"/>
  <c r="K11" i="10" s="1"/>
  <c r="L9" i="10"/>
  <c r="J11" i="7"/>
  <c r="K11" i="7" s="1"/>
  <c r="K10" i="7"/>
  <c r="L9" i="7"/>
  <c r="L9" i="6"/>
  <c r="J11" i="6"/>
  <c r="K11" i="6" s="1"/>
  <c r="K10" i="6"/>
  <c r="M21" i="4"/>
  <c r="E20" i="4" l="1"/>
  <c r="E21" i="4"/>
  <c r="F21" i="4"/>
  <c r="L10" i="5"/>
  <c r="L11" i="5"/>
  <c r="M10" i="5" s="1"/>
  <c r="N10" i="5" s="1"/>
  <c r="L19" i="5"/>
  <c r="M19" i="5" s="1"/>
  <c r="L10" i="11"/>
  <c r="L11" i="11"/>
  <c r="L11" i="10"/>
  <c r="L10" i="10"/>
  <c r="L21" i="10" s="1"/>
  <c r="M21" i="10" s="1"/>
  <c r="L10" i="7"/>
  <c r="L11" i="7"/>
  <c r="L11" i="6"/>
  <c r="L10" i="6"/>
  <c r="M10" i="6" s="1"/>
  <c r="N10" i="6" s="1"/>
  <c r="F22" i="4"/>
  <c r="F20" i="4"/>
  <c r="L18" i="5" l="1"/>
  <c r="M18" i="5" s="1"/>
  <c r="M11" i="6"/>
  <c r="N11" i="6" s="1"/>
  <c r="L19" i="10"/>
  <c r="M19" i="10" s="1"/>
  <c r="E19" i="7"/>
  <c r="F19" i="7" s="1"/>
  <c r="M7" i="6"/>
  <c r="N7" i="6" s="1"/>
  <c r="L21" i="11"/>
  <c r="M21" i="11" s="1"/>
  <c r="L19" i="7"/>
  <c r="M19" i="7" s="1"/>
  <c r="L22" i="7"/>
  <c r="M22" i="7" s="1"/>
  <c r="M7" i="7"/>
  <c r="N7" i="7" s="1"/>
  <c r="M11" i="7"/>
  <c r="N11" i="7" s="1"/>
  <c r="M9" i="5"/>
  <c r="N9" i="5" s="1"/>
  <c r="M7" i="5"/>
  <c r="N7" i="5" s="1"/>
  <c r="M8" i="5"/>
  <c r="N8" i="5" s="1"/>
  <c r="M11" i="5"/>
  <c r="N11" i="5" s="1"/>
  <c r="L20" i="5"/>
  <c r="M20" i="5" s="1"/>
  <c r="L22" i="5"/>
  <c r="M22" i="5" s="1"/>
  <c r="L21" i="5"/>
  <c r="M21" i="5" s="1"/>
  <c r="E19" i="5"/>
  <c r="F19" i="5" s="1"/>
  <c r="M9" i="7"/>
  <c r="N9" i="7" s="1"/>
  <c r="M8" i="7"/>
  <c r="N8" i="7" s="1"/>
  <c r="M10" i="10"/>
  <c r="N10" i="10" s="1"/>
  <c r="L18" i="10"/>
  <c r="M18" i="10" s="1"/>
  <c r="E19" i="10"/>
  <c r="F19" i="10" s="1"/>
  <c r="M10" i="11"/>
  <c r="N10" i="11" s="1"/>
  <c r="M11" i="11"/>
  <c r="N11" i="11" s="1"/>
  <c r="L19" i="11"/>
  <c r="M19" i="11" s="1"/>
  <c r="L18" i="11"/>
  <c r="M18" i="11" s="1"/>
  <c r="L20" i="11"/>
  <c r="M20" i="11" s="1"/>
  <c r="M7" i="11"/>
  <c r="N7" i="11" s="1"/>
  <c r="E19" i="11"/>
  <c r="F19" i="11" s="1"/>
  <c r="M8" i="11"/>
  <c r="N8" i="11" s="1"/>
  <c r="L22" i="11"/>
  <c r="M22" i="11" s="1"/>
  <c r="M9" i="11"/>
  <c r="N9" i="11" s="1"/>
  <c r="M9" i="10"/>
  <c r="N9" i="10" s="1"/>
  <c r="L20" i="10"/>
  <c r="M20" i="10" s="1"/>
  <c r="M8" i="10"/>
  <c r="N8" i="10" s="1"/>
  <c r="M11" i="10"/>
  <c r="N11" i="10" s="1"/>
  <c r="L22" i="10"/>
  <c r="M22" i="10" s="1"/>
  <c r="M7" i="10"/>
  <c r="N7" i="10" s="1"/>
  <c r="L18" i="7"/>
  <c r="M18" i="7" s="1"/>
  <c r="L21" i="7"/>
  <c r="M21" i="7" s="1"/>
  <c r="L20" i="7"/>
  <c r="M20" i="7" s="1"/>
  <c r="M10" i="7"/>
  <c r="N10" i="7" s="1"/>
  <c r="E19" i="6"/>
  <c r="F19" i="6" s="1"/>
  <c r="L22" i="6"/>
  <c r="M22" i="6" s="1"/>
  <c r="L21" i="6"/>
  <c r="M21" i="6" s="1"/>
  <c r="M8" i="6"/>
  <c r="N8" i="6" s="1"/>
  <c r="L20" i="6"/>
  <c r="M20" i="6" s="1"/>
  <c r="L18" i="6"/>
  <c r="M18" i="6" s="1"/>
  <c r="M9" i="6"/>
  <c r="N9" i="6" s="1"/>
  <c r="L19" i="6"/>
  <c r="M19" i="6" s="1"/>
  <c r="F22" i="5" l="1"/>
  <c r="E20" i="7"/>
  <c r="F21" i="5"/>
  <c r="F20" i="5"/>
  <c r="E21" i="5"/>
  <c r="E22" i="5"/>
  <c r="E20" i="5"/>
  <c r="E21" i="6"/>
  <c r="F21" i="10"/>
  <c r="E20" i="11"/>
  <c r="E21" i="11"/>
  <c r="E22" i="11"/>
  <c r="F20" i="11"/>
  <c r="F21" i="11"/>
  <c r="F22" i="11"/>
  <c r="F22" i="10"/>
  <c r="E20" i="10"/>
  <c r="E21" i="10"/>
  <c r="E22" i="10"/>
  <c r="F20" i="10"/>
  <c r="F22" i="7"/>
  <c r="F20" i="7"/>
  <c r="F21" i="7"/>
  <c r="E21" i="7"/>
  <c r="E22" i="7"/>
  <c r="E20" i="6"/>
  <c r="E22" i="6"/>
  <c r="F21" i="6"/>
  <c r="F20" i="6"/>
  <c r="F22" i="6"/>
  <c r="M7" i="2"/>
  <c r="M10" i="2"/>
  <c r="M8" i="2"/>
  <c r="M11" i="2"/>
  <c r="M9" i="2"/>
  <c r="E22" i="2" l="1"/>
  <c r="E19" i="2"/>
  <c r="F19" i="2" s="1"/>
  <c r="E21" i="2"/>
  <c r="E20" i="2"/>
</calcChain>
</file>

<file path=xl/comments1.xml><?xml version="1.0" encoding="utf-8"?>
<comments xmlns="http://schemas.openxmlformats.org/spreadsheetml/2006/main">
  <authors>
    <author>Courtney Chester</author>
  </authors>
  <commentList>
    <comment ref="F6" authorId="0" shapeId="0">
      <text>
        <r>
          <rPr>
            <b/>
            <sz val="9"/>
            <color indexed="81"/>
            <rFont val="Tahoma"/>
            <family val="2"/>
          </rPr>
          <t>Courtney Chester:</t>
        </r>
        <r>
          <rPr>
            <sz val="9"/>
            <color indexed="81"/>
            <rFont val="Tahoma"/>
            <family val="2"/>
          </rPr>
          <t xml:space="preserve">
Customer delivered ML</t>
        </r>
      </text>
    </comment>
    <comment ref="F19"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10.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2.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3.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4.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
After doing Goal Seek, round to two decimal points.
</t>
        </r>
      </text>
    </comment>
  </commentList>
</comments>
</file>

<file path=xl/comments5.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6.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7.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8.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t>
        </r>
      </text>
    </comment>
  </commentList>
</comments>
</file>

<file path=xl/comments9.xml><?xml version="1.0" encoding="utf-8"?>
<comments xmlns="http://schemas.openxmlformats.org/spreadsheetml/2006/main">
  <authors>
    <author>Courtney Chester</author>
  </authors>
  <commentList>
    <comment ref="E6" authorId="0" shapeId="0">
      <text>
        <r>
          <rPr>
            <b/>
            <sz val="9"/>
            <color indexed="81"/>
            <rFont val="Tahoma"/>
            <family val="2"/>
          </rPr>
          <t>Courtney Chester:</t>
        </r>
        <r>
          <rPr>
            <sz val="9"/>
            <color indexed="81"/>
            <rFont val="Tahoma"/>
            <family val="2"/>
          </rPr>
          <t xml:space="preserve">
Customer delivered ML</t>
        </r>
      </text>
    </comment>
    <comment ref="F18" authorId="0" shapeId="0">
      <text>
        <r>
          <rPr>
            <b/>
            <sz val="9"/>
            <color indexed="81"/>
            <rFont val="Tahoma"/>
            <family val="2"/>
          </rPr>
          <t>Courtney Chester:</t>
        </r>
        <r>
          <rPr>
            <sz val="9"/>
            <color indexed="81"/>
            <rFont val="Tahoma"/>
            <family val="2"/>
          </rPr>
          <t xml:space="preserve">
This value is a result of goal seek, setting F21 = 0
After doing Goal Seek, round to two decimal points.
</t>
        </r>
      </text>
    </comment>
  </commentList>
</comments>
</file>

<file path=xl/sharedStrings.xml><?xml version="1.0" encoding="utf-8"?>
<sst xmlns="http://schemas.openxmlformats.org/spreadsheetml/2006/main" count="457" uniqueCount="57">
  <si>
    <t>Option 1: Average $/ML, variable charge only</t>
  </si>
  <si>
    <t>Option 2: cost recovery based on historical usage</t>
  </si>
  <si>
    <t>Year</t>
  </si>
  <si>
    <t>kWh</t>
  </si>
  <si>
    <t>Total Cost</t>
  </si>
  <si>
    <t>$/ML</t>
  </si>
  <si>
    <t>Annual over/under recovery</t>
  </si>
  <si>
    <t>Fixed charge</t>
  </si>
  <si>
    <t>Fixed Revenue</t>
  </si>
  <si>
    <t>Variable Revenue</t>
  </si>
  <si>
    <t>Under / over recovery if recovery fixed and variable electricity</t>
  </si>
  <si>
    <t>2013/14</t>
  </si>
  <si>
    <t>2014/15</t>
  </si>
  <si>
    <t>2015/16</t>
  </si>
  <si>
    <t>2016/17</t>
  </si>
  <si>
    <t>2017/18</t>
  </si>
  <si>
    <t>Average</t>
  </si>
  <si>
    <t>WAE</t>
  </si>
  <si>
    <t>Average Delivery</t>
  </si>
  <si>
    <t>Option 1:</t>
  </si>
  <si>
    <t>Option 2:</t>
  </si>
  <si>
    <t>Option 3:</t>
  </si>
  <si>
    <t>Option 3</t>
  </si>
  <si>
    <t>Cost recovery Variable Charge Only</t>
  </si>
  <si>
    <t>Cost recovery fixed and variable charges</t>
  </si>
  <si>
    <t>At least Break even in every year</t>
  </si>
  <si>
    <t>Fixed Charge ($/WAE)</t>
  </si>
  <si>
    <t>Variable Charge ($/ML)</t>
  </si>
  <si>
    <t>2019/20 electricity prices have been applied.</t>
  </si>
  <si>
    <t>Month starting</t>
  </si>
  <si>
    <t>KWH</t>
  </si>
  <si>
    <t>Actual water use  (with adjustments) (ML)*</t>
  </si>
  <si>
    <t>Fixed Costs</t>
  </si>
  <si>
    <t>Fixed Electricity charges ($)</t>
  </si>
  <si>
    <t>Unrecovered costs (variable)</t>
  </si>
  <si>
    <t>kWh/year</t>
  </si>
  <si>
    <t>Minimum recover y of electricity costs</t>
  </si>
  <si>
    <t>Average recovery of electricity costs</t>
  </si>
  <si>
    <t>Maximum recovery of electricity costs</t>
  </si>
  <si>
    <t>DRAFT Dawson WS electricity analysis</t>
  </si>
  <si>
    <t>DRAFT Bundaberg DS electricity analysis</t>
  </si>
  <si>
    <t>DRAFT Barker Barambah electricity analsyis</t>
  </si>
  <si>
    <t>DRAFT Lower Mary DS Electricity Analysis</t>
  </si>
  <si>
    <t>DRAFT Mareeba-Dimbulah DS electricity analysis</t>
  </si>
  <si>
    <t>DRAFT Bowen Broken WS electricity analysis</t>
  </si>
  <si>
    <t>DRAFT Eton DS electricity analysis</t>
  </si>
  <si>
    <t>DRAFT Three Moon Creek WS electricity analysis</t>
  </si>
  <si>
    <t>DRAFT Upper Condamine WS electricity analysis</t>
  </si>
  <si>
    <t>DRAFT Burdekin DS Electricity Analysis</t>
  </si>
  <si>
    <t>Maximum Loss ($)</t>
  </si>
  <si>
    <t>Maximum Profit ($)</t>
  </si>
  <si>
    <t>Average Profit</t>
  </si>
  <si>
    <t>Pumped (ML)</t>
  </si>
  <si>
    <t>2018/19</t>
  </si>
  <si>
    <t>2019/20 electricity prices have been applied. Contestable tariff arrangements at Haughton Pump Station are not included in these calculations.</t>
  </si>
  <si>
    <t>NOTE: The prices and costs below reflect the QCA's estimate of electricity costs for this service contract, and do not reflect a formal cost estimate, policy submission or support of the QCA's draft recommendations by Sunwater. They have been provided as a proof of concept to illustrate the methodology proposed by the Queensland Farmers' Federation, and adopted by Sunwater. Final prices will be determined by the QCA’s final recommendation on electricity costs.</t>
  </si>
  <si>
    <t>NOTE: The prices and costs below are estimates only and are not binding on Sunwater Limited or any of its related bodies corporate (as defined in the Corporations Act 2001 (Cth)) (together Sunwater). The estimated prices and costs below reflect Sunwater’s response to the Queensland Competition Authority’s (QCA) draft Rural irrigation price review 2020–24 report, , and do not reflect a formal cost estimate or support of the QCA's draft recommendations by Sunwater. The estimated prices and costs have been provided for information only and as a proof of concept to illustrate the electricity pass-through mechanism proposed by Sunwater. The electricity cost estimation methodology proposed by the Queensland Farmers' Federation, and adopted by Sunwater, has not been used to calculate electricity costs in these models. Actual prices will be calculated based on the QCA’s final determination on electricity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</si>
</sst>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_-;\-* #,##0_-;_-* &quot;-&quot;??_-;_-@_-"/>
    <numFmt numFmtId="166" formatCode="#,##0_ ;\-#,##0\ "/>
    <numFmt numFmtId="167" formatCode="0.0%"/>
    <numFmt numFmtId="168" formatCode="_(* #,##0_);_(* \(#,##0\);_(* &quot;-&quot;??_);_(@_)"/>
    <numFmt numFmtId="169" formatCode="_-* #,##0.0000_-;\-* #,##0.0000_-;_-* &quot;-&quot;??_-;_-@_-"/>
  </numFmts>
  <fonts count="9" x14ac:knownFonts="1">
    <font>
      <sz val="11"/>
      <color theme="1"/>
      <name val="Calibri"/>
      <family val="2"/>
      <scheme val="minor"/>
    </font>
    <font>
      <sz val="11"/>
      <color theme="1"/>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8.8000000000000007"/>
      <color theme="1"/>
      <name val="Verdana"/>
      <family val="2"/>
    </font>
    <font>
      <sz val="1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3" tint="0.39997558519241921"/>
        <bgColor indexed="64"/>
      </patternFill>
    </fill>
  </fills>
  <borders count="16">
    <border>
      <left/>
      <right/>
      <top/>
      <bottom/>
      <diagonal/>
    </border>
    <border>
      <left/>
      <right/>
      <top/>
      <bottom style="double">
        <color rgb="FFFF8001"/>
      </bottom>
      <diagonal/>
    </border>
    <border>
      <left/>
      <right style="thin">
        <color theme="0"/>
      </right>
      <top/>
      <bottom/>
      <diagonal/>
    </border>
    <border>
      <left style="thin">
        <color theme="0"/>
      </left>
      <right style="thin">
        <color theme="0"/>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left>
      <right/>
      <top/>
      <bottom/>
      <diagonal/>
    </border>
  </borders>
  <cellStyleXfs count="5">
    <xf numFmtId="0" fontId="0" fillId="0" borderId="0"/>
    <xf numFmtId="16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164" fontId="1" fillId="0" borderId="0" applyFont="0" applyFill="0" applyBorder="0" applyAlignment="0" applyProtection="0"/>
  </cellStyleXfs>
  <cellXfs count="82">
    <xf numFmtId="0" fontId="0" fillId="0" borderId="0" xfId="0"/>
    <xf numFmtId="0" fontId="5" fillId="0" borderId="0" xfId="0" applyFont="1" applyAlignment="1">
      <alignment horizontal="center"/>
    </xf>
    <xf numFmtId="0" fontId="3" fillId="2" borderId="0" xfId="0" applyFont="1" applyFill="1" applyBorder="1" applyAlignment="1"/>
    <xf numFmtId="0" fontId="3" fillId="2" borderId="2" xfId="0" applyFont="1" applyFill="1" applyBorder="1" applyAlignment="1"/>
    <xf numFmtId="0" fontId="3" fillId="2" borderId="3"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14" fontId="0" fillId="0" borderId="0" xfId="0" applyNumberFormat="1"/>
    <xf numFmtId="165" fontId="4" fillId="0" borderId="4" xfId="1" applyNumberFormat="1" applyFont="1" applyBorder="1"/>
    <xf numFmtId="165" fontId="2" fillId="0" borderId="1" xfId="2" applyNumberFormat="1"/>
    <xf numFmtId="165" fontId="2" fillId="0" borderId="1" xfId="1" applyNumberFormat="1" applyFont="1" applyBorder="1"/>
    <xf numFmtId="164" fontId="0" fillId="0" borderId="0" xfId="1" applyNumberFormat="1" applyFont="1" applyBorder="1"/>
    <xf numFmtId="165" fontId="0" fillId="0" borderId="5" xfId="1" applyNumberFormat="1" applyFont="1" applyBorder="1"/>
    <xf numFmtId="164" fontId="0" fillId="0" borderId="4" xfId="1" applyNumberFormat="1" applyFont="1" applyBorder="1"/>
    <xf numFmtId="165" fontId="0" fillId="0" borderId="0" xfId="1" applyNumberFormat="1" applyFont="1" applyBorder="1"/>
    <xf numFmtId="165" fontId="0" fillId="0" borderId="6" xfId="1" applyNumberFormat="1" applyFont="1" applyBorder="1"/>
    <xf numFmtId="164" fontId="0" fillId="0" borderId="4" xfId="0" applyNumberFormat="1" applyBorder="1"/>
    <xf numFmtId="0" fontId="0" fillId="0" borderId="0" xfId="0" applyBorder="1"/>
    <xf numFmtId="0" fontId="4" fillId="0" borderId="7" xfId="0" applyFont="1" applyBorder="1"/>
    <xf numFmtId="165" fontId="4" fillId="0" borderId="8" xfId="0" applyNumberFormat="1" applyFont="1" applyBorder="1"/>
    <xf numFmtId="164" fontId="4" fillId="0" borderId="8" xfId="0" applyNumberFormat="1" applyFont="1" applyBorder="1"/>
    <xf numFmtId="164" fontId="0" fillId="0" borderId="9" xfId="0" applyNumberFormat="1" applyBorder="1"/>
    <xf numFmtId="0" fontId="0" fillId="0" borderId="7" xfId="0" applyBorder="1"/>
    <xf numFmtId="0" fontId="0" fillId="0" borderId="8" xfId="0" applyBorder="1"/>
    <xf numFmtId="0" fontId="0" fillId="0" borderId="10" xfId="0" applyBorder="1"/>
    <xf numFmtId="0" fontId="4" fillId="0" borderId="0" xfId="0" applyFont="1" applyBorder="1"/>
    <xf numFmtId="165" fontId="4" fillId="0" borderId="0" xfId="0" applyNumberFormat="1" applyFont="1" applyBorder="1"/>
    <xf numFmtId="164" fontId="4" fillId="0" borderId="0" xfId="0" applyNumberFormat="1" applyFont="1" applyBorder="1"/>
    <xf numFmtId="164" fontId="0" fillId="0" borderId="0" xfId="0" applyNumberFormat="1" applyBorder="1"/>
    <xf numFmtId="0" fontId="0" fillId="0" borderId="11" xfId="0" applyBorder="1" applyAlignment="1">
      <alignment horizontal="center" vertical="center" wrapText="1"/>
    </xf>
    <xf numFmtId="166" fontId="0" fillId="0" borderId="12"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3" fillId="2" borderId="0" xfId="0" applyFont="1" applyFill="1" applyAlignment="1">
      <alignment horizontal="center" wrapText="1"/>
    </xf>
    <xf numFmtId="0" fontId="3" fillId="2" borderId="0" xfId="0" applyFont="1" applyFill="1"/>
    <xf numFmtId="0" fontId="0" fillId="0" borderId="13" xfId="0" applyBorder="1" applyAlignment="1">
      <alignment vertical="top" wrapText="1"/>
    </xf>
    <xf numFmtId="2" fontId="0" fillId="0" borderId="14" xfId="0" applyNumberFormat="1" applyBorder="1" applyAlignment="1">
      <alignment horizontal="center" vertical="center" wrapText="1"/>
    </xf>
    <xf numFmtId="164" fontId="0" fillId="0" borderId="0" xfId="0" applyNumberFormat="1"/>
    <xf numFmtId="0" fontId="0" fillId="0" borderId="4" xfId="0" applyBorder="1" applyAlignment="1">
      <alignment horizontal="left"/>
    </xf>
    <xf numFmtId="165" fontId="0" fillId="0" borderId="0" xfId="1" applyNumberFormat="1" applyFont="1"/>
    <xf numFmtId="0" fontId="0" fillId="0" borderId="11" xfId="0" applyBorder="1" applyAlignment="1">
      <alignment vertical="top" wrapText="1"/>
    </xf>
    <xf numFmtId="3" fontId="6" fillId="0" borderId="11" xfId="0" applyNumberFormat="1" applyFont="1" applyBorder="1" applyAlignment="1">
      <alignment horizontal="center" vertical="center" wrapText="1"/>
    </xf>
    <xf numFmtId="3" fontId="0" fillId="0" borderId="14" xfId="0" applyNumberFormat="1" applyBorder="1" applyAlignment="1">
      <alignment horizontal="center" vertical="center" wrapText="1"/>
    </xf>
    <xf numFmtId="0" fontId="0" fillId="0" borderId="9" xfId="0" applyBorder="1" applyAlignment="1">
      <alignment horizontal="left"/>
    </xf>
    <xf numFmtId="164" fontId="0" fillId="0" borderId="7" xfId="1" applyNumberFormat="1" applyFont="1" applyBorder="1"/>
    <xf numFmtId="165" fontId="0" fillId="0" borderId="8" xfId="1" applyNumberFormat="1" applyFont="1" applyBorder="1"/>
    <xf numFmtId="165" fontId="0" fillId="0" borderId="10" xfId="1" applyNumberFormat="1" applyFont="1" applyBorder="1"/>
    <xf numFmtId="0" fontId="3" fillId="2" borderId="0" xfId="0" applyFont="1" applyFill="1" applyAlignment="1"/>
    <xf numFmtId="165" fontId="4" fillId="0" borderId="4" xfId="4" applyNumberFormat="1" applyFont="1" applyBorder="1"/>
    <xf numFmtId="165" fontId="2" fillId="0" borderId="1" xfId="4" applyNumberFormat="1" applyFont="1" applyBorder="1"/>
    <xf numFmtId="164" fontId="0" fillId="0" borderId="0" xfId="4" applyNumberFormat="1" applyFont="1" applyBorder="1"/>
    <xf numFmtId="165" fontId="0" fillId="0" borderId="5" xfId="4" applyNumberFormat="1" applyFont="1" applyBorder="1"/>
    <xf numFmtId="164" fontId="0" fillId="0" borderId="4" xfId="4" applyNumberFormat="1" applyFont="1" applyBorder="1"/>
    <xf numFmtId="165" fontId="0" fillId="0" borderId="0" xfId="4" applyNumberFormat="1" applyFont="1" applyBorder="1"/>
    <xf numFmtId="165" fontId="0" fillId="0" borderId="6" xfId="4" applyNumberFormat="1" applyFont="1" applyBorder="1"/>
    <xf numFmtId="164" fontId="0" fillId="0" borderId="4" xfId="0" applyNumberFormat="1" applyBorder="1"/>
    <xf numFmtId="164" fontId="4" fillId="0" borderId="8" xfId="0" applyNumberFormat="1" applyFont="1" applyBorder="1"/>
    <xf numFmtId="164" fontId="0" fillId="0" borderId="9" xfId="0" applyNumberFormat="1" applyBorder="1"/>
    <xf numFmtId="164" fontId="4" fillId="0" borderId="0" xfId="0" applyNumberFormat="1" applyFont="1" applyBorder="1"/>
    <xf numFmtId="164" fontId="0" fillId="0" borderId="0" xfId="0" applyNumberFormat="1" applyBorder="1"/>
    <xf numFmtId="164" fontId="0" fillId="0" borderId="12" xfId="0" applyNumberFormat="1" applyBorder="1" applyAlignment="1">
      <alignment horizontal="center" vertical="center" wrapText="1"/>
    </xf>
    <xf numFmtId="164" fontId="0" fillId="0" borderId="0" xfId="0" applyNumberFormat="1"/>
    <xf numFmtId="165" fontId="0" fillId="0" borderId="0" xfId="4" applyNumberFormat="1" applyFont="1"/>
    <xf numFmtId="164" fontId="0" fillId="0" borderId="7" xfId="4" applyNumberFormat="1" applyFont="1" applyBorder="1"/>
    <xf numFmtId="165" fontId="0" fillId="0" borderId="8" xfId="4" applyNumberFormat="1" applyFont="1" applyBorder="1"/>
    <xf numFmtId="165" fontId="0" fillId="0" borderId="10" xfId="4" applyNumberFormat="1" applyFont="1" applyBorder="1"/>
    <xf numFmtId="167" fontId="0" fillId="0" borderId="0" xfId="3" applyNumberFormat="1" applyFont="1"/>
    <xf numFmtId="164" fontId="0" fillId="0" borderId="8" xfId="1" applyNumberFormat="1" applyFont="1" applyBorder="1"/>
    <xf numFmtId="0" fontId="4" fillId="0" borderId="0" xfId="0" applyFont="1" applyAlignment="1">
      <alignment wrapText="1"/>
    </xf>
    <xf numFmtId="164" fontId="4" fillId="0" borderId="0" xfId="1" applyNumberFormat="1" applyFont="1" applyBorder="1"/>
    <xf numFmtId="0" fontId="0" fillId="0" borderId="5" xfId="0" applyBorder="1"/>
    <xf numFmtId="0" fontId="0" fillId="0" borderId="4" xfId="0" applyBorder="1"/>
    <xf numFmtId="0" fontId="0" fillId="0" borderId="6" xfId="0" applyBorder="1"/>
    <xf numFmtId="168" fontId="4" fillId="0" borderId="0" xfId="0" applyNumberFormat="1" applyFont="1" applyBorder="1"/>
    <xf numFmtId="9" fontId="4" fillId="0" borderId="0" xfId="3" applyFont="1" applyBorder="1"/>
    <xf numFmtId="164" fontId="0" fillId="0" borderId="0" xfId="1" applyNumberFormat="1" applyFont="1" applyFill="1" applyBorder="1"/>
    <xf numFmtId="165" fontId="0" fillId="0" borderId="0" xfId="0" applyNumberFormat="1" applyBorder="1"/>
    <xf numFmtId="169" fontId="4" fillId="0" borderId="0" xfId="1" applyNumberFormat="1" applyFont="1" applyBorder="1"/>
    <xf numFmtId="0" fontId="3" fillId="2" borderId="15" xfId="0" applyFont="1" applyFill="1" applyBorder="1" applyAlignment="1">
      <alignment horizontal="center"/>
    </xf>
    <xf numFmtId="0" fontId="3" fillId="2" borderId="0" xfId="0" applyFont="1" applyFill="1" applyAlignment="1">
      <alignment horizontal="center"/>
    </xf>
    <xf numFmtId="0" fontId="4" fillId="0" borderId="0" xfId="0" applyFont="1" applyAlignment="1">
      <alignment wrapText="1"/>
    </xf>
  </cellXfs>
  <cellStyles count="5">
    <cellStyle name="Comma" xfId="1" builtinId="3"/>
    <cellStyle name="Comma 2" xfId="4"/>
    <cellStyle name="Linked Cell" xfId="2" builtinId="24"/>
    <cellStyle name="Normal" xfId="0" builtinId="0"/>
    <cellStyle name="Percent" xfId="3" builtinId="5"/>
  </cellStyles>
  <dxfs count="2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'Bowen Broken'!$R$7:$R$11</c:f>
              <c:numCache>
                <c:formatCode>General</c:formatCode>
                <c:ptCount val="5"/>
              </c:numCache>
            </c:numRef>
          </c:val>
          <c:smooth val="0"/>
          <c:extLst>
            <c:ext xmlns:c16="http://schemas.microsoft.com/office/drawing/2014/chart" uri="{C3380CC4-5D6E-409C-BE32-E72D297353CC}">
              <c16:uniqueId val="{00000000-A993-4BEE-8221-F66FE6D02A8D}"/>
            </c:ext>
          </c:extLst>
        </c:ser>
        <c:ser>
          <c:idx val="1"/>
          <c:order val="1"/>
          <c:spPr>
            <a:ln w="28575" cap="rnd">
              <a:solidFill>
                <a:schemeClr val="accent2"/>
              </a:solidFill>
              <a:round/>
            </a:ln>
            <a:effectLst/>
          </c:spPr>
          <c:marker>
            <c:symbol val="none"/>
          </c:marker>
          <c:val>
            <c:numRef>
              <c:f>'Bowen Broken'!$S$7:$S$11</c:f>
              <c:numCache>
                <c:formatCode>General</c:formatCode>
                <c:ptCount val="5"/>
              </c:numCache>
            </c:numRef>
          </c:val>
          <c:smooth val="0"/>
          <c:extLst>
            <c:ext xmlns:c16="http://schemas.microsoft.com/office/drawing/2014/chart" uri="{C3380CC4-5D6E-409C-BE32-E72D297353CC}">
              <c16:uniqueId val="{00000001-A993-4BEE-8221-F66FE6D02A8D}"/>
            </c:ext>
          </c:extLst>
        </c:ser>
        <c:dLbls>
          <c:showLegendKey val="0"/>
          <c:showVal val="0"/>
          <c:showCatName val="0"/>
          <c:showSerName val="0"/>
          <c:showPercent val="0"/>
          <c:showBubbleSize val="0"/>
        </c:dLbls>
        <c:smooth val="0"/>
        <c:axId val="1056353104"/>
        <c:axId val="1056359664"/>
      </c:lineChart>
      <c:catAx>
        <c:axId val="1056353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9664"/>
        <c:crosses val="autoZero"/>
        <c:auto val="1"/>
        <c:lblAlgn val="ctr"/>
        <c:lblOffset val="100"/>
        <c:noMultiLvlLbl val="0"/>
      </c:catAx>
      <c:valAx>
        <c:axId val="105635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'Eton DS'!$Q$7:$Q$11</c:f>
              <c:numCache>
                <c:formatCode>General</c:formatCode>
                <c:ptCount val="5"/>
              </c:numCache>
            </c:numRef>
          </c:val>
          <c:smooth val="0"/>
          <c:extLst>
            <c:ext xmlns:c16="http://schemas.microsoft.com/office/drawing/2014/chart" uri="{C3380CC4-5D6E-409C-BE32-E72D297353CC}">
              <c16:uniqueId val="{00000000-6C09-4A00-98F0-68229E09B3B5}"/>
            </c:ext>
          </c:extLst>
        </c:ser>
        <c:ser>
          <c:idx val="1"/>
          <c:order val="1"/>
          <c:spPr>
            <a:ln w="28575" cap="rnd">
              <a:solidFill>
                <a:schemeClr val="accent2"/>
              </a:solidFill>
              <a:round/>
            </a:ln>
            <a:effectLst/>
          </c:spPr>
          <c:marker>
            <c:symbol val="none"/>
          </c:marker>
          <c:val>
            <c:numRef>
              <c:f>'Eton DS'!$R$7:$R$11</c:f>
              <c:numCache>
                <c:formatCode>General</c:formatCode>
                <c:ptCount val="5"/>
              </c:numCache>
            </c:numRef>
          </c:val>
          <c:smooth val="0"/>
          <c:extLst>
            <c:ext xmlns:c16="http://schemas.microsoft.com/office/drawing/2014/chart" uri="{C3380CC4-5D6E-409C-BE32-E72D297353CC}">
              <c16:uniqueId val="{00000001-6C09-4A00-98F0-68229E09B3B5}"/>
            </c:ext>
          </c:extLst>
        </c:ser>
        <c:dLbls>
          <c:showLegendKey val="0"/>
          <c:showVal val="0"/>
          <c:showCatName val="0"/>
          <c:showSerName val="0"/>
          <c:showPercent val="0"/>
          <c:showBubbleSize val="0"/>
        </c:dLbls>
        <c:smooth val="0"/>
        <c:axId val="1056353104"/>
        <c:axId val="1056359664"/>
      </c:lineChart>
      <c:catAx>
        <c:axId val="1056353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9664"/>
        <c:crosses val="autoZero"/>
        <c:auto val="1"/>
        <c:lblAlgn val="ctr"/>
        <c:lblOffset val="100"/>
        <c:noMultiLvlLbl val="0"/>
      </c:catAx>
      <c:valAx>
        <c:axId val="105635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'Three Moon Creek'!$S$7:$S$11</c:f>
              <c:numCache>
                <c:formatCode>General</c:formatCode>
                <c:ptCount val="5"/>
              </c:numCache>
            </c:numRef>
          </c:val>
          <c:smooth val="0"/>
          <c:extLst>
            <c:ext xmlns:c16="http://schemas.microsoft.com/office/drawing/2014/chart" uri="{C3380CC4-5D6E-409C-BE32-E72D297353CC}">
              <c16:uniqueId val="{00000000-0EFC-4669-A38F-1BCAFA1771CB}"/>
            </c:ext>
          </c:extLst>
        </c:ser>
        <c:ser>
          <c:idx val="1"/>
          <c:order val="1"/>
          <c:spPr>
            <a:ln w="28575" cap="rnd">
              <a:solidFill>
                <a:schemeClr val="accent2"/>
              </a:solidFill>
              <a:round/>
            </a:ln>
            <a:effectLst/>
          </c:spPr>
          <c:marker>
            <c:symbol val="none"/>
          </c:marker>
          <c:val>
            <c:numRef>
              <c:f>'Three Moon Creek'!$T$7:$T$11</c:f>
              <c:numCache>
                <c:formatCode>General</c:formatCode>
                <c:ptCount val="5"/>
              </c:numCache>
            </c:numRef>
          </c:val>
          <c:smooth val="0"/>
          <c:extLst>
            <c:ext xmlns:c16="http://schemas.microsoft.com/office/drawing/2014/chart" uri="{C3380CC4-5D6E-409C-BE32-E72D297353CC}">
              <c16:uniqueId val="{00000001-0EFC-4669-A38F-1BCAFA1771CB}"/>
            </c:ext>
          </c:extLst>
        </c:ser>
        <c:dLbls>
          <c:showLegendKey val="0"/>
          <c:showVal val="0"/>
          <c:showCatName val="0"/>
          <c:showSerName val="0"/>
          <c:showPercent val="0"/>
          <c:showBubbleSize val="0"/>
        </c:dLbls>
        <c:smooth val="0"/>
        <c:axId val="1056353104"/>
        <c:axId val="1056359664"/>
      </c:lineChart>
      <c:catAx>
        <c:axId val="1056353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9664"/>
        <c:crosses val="autoZero"/>
        <c:auto val="1"/>
        <c:lblAlgn val="ctr"/>
        <c:lblOffset val="100"/>
        <c:noMultiLvlLbl val="0"/>
      </c:catAx>
      <c:valAx>
        <c:axId val="105635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'Upper Condamine'!$Q$7:$Q$11</c:f>
              <c:numCache>
                <c:formatCode>General</c:formatCode>
                <c:ptCount val="5"/>
              </c:numCache>
            </c:numRef>
          </c:val>
          <c:smooth val="0"/>
          <c:extLst>
            <c:ext xmlns:c16="http://schemas.microsoft.com/office/drawing/2014/chart" uri="{C3380CC4-5D6E-409C-BE32-E72D297353CC}">
              <c16:uniqueId val="{00000000-656A-49D6-B23A-86F06B149870}"/>
            </c:ext>
          </c:extLst>
        </c:ser>
        <c:ser>
          <c:idx val="1"/>
          <c:order val="1"/>
          <c:spPr>
            <a:ln w="28575" cap="rnd">
              <a:solidFill>
                <a:schemeClr val="accent2"/>
              </a:solidFill>
              <a:round/>
            </a:ln>
            <a:effectLst/>
          </c:spPr>
          <c:marker>
            <c:symbol val="none"/>
          </c:marker>
          <c:val>
            <c:numRef>
              <c:f>'Upper Condamine'!$R$7:$R$11</c:f>
              <c:numCache>
                <c:formatCode>General</c:formatCode>
                <c:ptCount val="5"/>
              </c:numCache>
            </c:numRef>
          </c:val>
          <c:smooth val="0"/>
          <c:extLst>
            <c:ext xmlns:c16="http://schemas.microsoft.com/office/drawing/2014/chart" uri="{C3380CC4-5D6E-409C-BE32-E72D297353CC}">
              <c16:uniqueId val="{00000001-656A-49D6-B23A-86F06B149870}"/>
            </c:ext>
          </c:extLst>
        </c:ser>
        <c:dLbls>
          <c:showLegendKey val="0"/>
          <c:showVal val="0"/>
          <c:showCatName val="0"/>
          <c:showSerName val="0"/>
          <c:showPercent val="0"/>
          <c:showBubbleSize val="0"/>
        </c:dLbls>
        <c:smooth val="0"/>
        <c:axId val="1056353104"/>
        <c:axId val="1056359664"/>
      </c:lineChart>
      <c:catAx>
        <c:axId val="1056353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9664"/>
        <c:crosses val="autoZero"/>
        <c:auto val="1"/>
        <c:lblAlgn val="ctr"/>
        <c:lblOffset val="100"/>
        <c:noMultiLvlLbl val="0"/>
      </c:catAx>
      <c:valAx>
        <c:axId val="105635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35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21</xdr:col>
      <xdr:colOff>304800</xdr:colOff>
      <xdr:row>4</xdr:row>
      <xdr:rowOff>76200</xdr:rowOff>
    </xdr:from>
    <xdr:to>
      <xdr:col>29</xdr:col>
      <xdr:colOff>0</xdr:colOff>
      <xdr:row>13</xdr:row>
      <xdr:rowOff>76200</xdr:rowOff>
    </xdr:to>
    <xdr:graphicFrame macro="">
      <xdr:nvGraphicFramePr>
        <xdr:cNvPr id="2" name="Chart 1">
          <a:extLst>
            <a:ext uri="{FF2B5EF4-FFF2-40B4-BE49-F238E27FC236}">
              <a16:creationId xmlns:a16="http://schemas.microsoft.com/office/drawing/2014/main" id="{DCCBE285-A675-42DA-9E11-E755DAD09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304800</xdr:colOff>
      <xdr:row>4</xdr:row>
      <xdr:rowOff>76200</xdr:rowOff>
    </xdr:from>
    <xdr:to>
      <xdr:col>28</xdr:col>
      <xdr:colOff>0</xdr:colOff>
      <xdr:row>13</xdr:row>
      <xdr:rowOff>76200</xdr:rowOff>
    </xdr:to>
    <xdr:graphicFrame macro="">
      <xdr:nvGraphicFramePr>
        <xdr:cNvPr id="2" name="Chart 1">
          <a:extLst>
            <a:ext uri="{FF2B5EF4-FFF2-40B4-BE49-F238E27FC236}">
              <a16:creationId xmlns:a16="http://schemas.microsoft.com/office/drawing/2014/main" id="{E9FB6B4C-E672-49BD-8FF7-71D89E2CE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304800</xdr:colOff>
      <xdr:row>4</xdr:row>
      <xdr:rowOff>76200</xdr:rowOff>
    </xdr:from>
    <xdr:to>
      <xdr:col>29</xdr:col>
      <xdr:colOff>0</xdr:colOff>
      <xdr:row>13</xdr:row>
      <xdr:rowOff>76200</xdr:rowOff>
    </xdr:to>
    <xdr:graphicFrame macro="">
      <xdr:nvGraphicFramePr>
        <xdr:cNvPr id="2" name="Chart 1">
          <a:extLst>
            <a:ext uri="{FF2B5EF4-FFF2-40B4-BE49-F238E27FC236}">
              <a16:creationId xmlns:a16="http://schemas.microsoft.com/office/drawing/2014/main" id="{772C0EEB-3BCF-4D88-82A5-7394CF1C4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304800</xdr:colOff>
      <xdr:row>4</xdr:row>
      <xdr:rowOff>76200</xdr:rowOff>
    </xdr:from>
    <xdr:to>
      <xdr:col>29</xdr:col>
      <xdr:colOff>0</xdr:colOff>
      <xdr:row>13</xdr:row>
      <xdr:rowOff>76200</xdr:rowOff>
    </xdr:to>
    <xdr:graphicFrame macro="">
      <xdr:nvGraphicFramePr>
        <xdr:cNvPr id="2" name="Chart 1">
          <a:extLst>
            <a:ext uri="{FF2B5EF4-FFF2-40B4-BE49-F238E27FC236}">
              <a16:creationId xmlns:a16="http://schemas.microsoft.com/office/drawing/2014/main" id="{971FCA41-F817-4975-B90E-828AEEE77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qca.org.au/Corporate%20Strategy/Irrigation%20Pricing%202012-2016/#2021-2024 Irrigation Pricing Review/2. QCA information requests/Electiricty Models/Electricity pass through model Bundaber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esterC\AppData\Roaming\OpenText\DM\Temp\PRODUCTION-%232456045-v15-QCA_Information_Request_57_Attachment_1_Electricity_pass-through_model-Burdekin_Haugh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All Volumes"/>
      <sheetName val="Input Data"/>
      <sheetName val="First"/>
      <sheetName val="IsisPS"/>
      <sheetName val="Quart Pot PS"/>
      <sheetName val="Woongarra PS"/>
      <sheetName val="Gooburrum PS"/>
      <sheetName val="Monduran PS"/>
      <sheetName val="Relift PS - Walker St"/>
      <sheetName val="Bullyard PS"/>
      <sheetName val="Tirroan PS"/>
      <sheetName val="Dinner Hill P"/>
      <sheetName val="Abbotsford Hill PS"/>
      <sheetName val="Bucca PS"/>
      <sheetName val="Mcillwraith PS"/>
      <sheetName val="North Gregory PS"/>
      <sheetName val="Other NMI (Tariff 20 (small))"/>
      <sheetName val="Other NMI (Tariff 91)"/>
      <sheetName val="Other NMI (Tariff 21)"/>
      <sheetName val="Last"/>
      <sheetName val="ML Pumped"/>
      <sheetName val="LargeSiteData"/>
    </sheetNames>
    <sheetDataSet>
      <sheetData sheetId="0"/>
      <sheetData sheetId="1"/>
      <sheetData sheetId="2"/>
      <sheetData sheetId="3"/>
      <sheetData sheetId="4">
        <row r="32">
          <cell r="B32">
            <v>41456</v>
          </cell>
        </row>
        <row r="33">
          <cell r="B33">
            <v>41487</v>
          </cell>
        </row>
        <row r="34">
          <cell r="B34">
            <v>41518</v>
          </cell>
        </row>
        <row r="35">
          <cell r="B35">
            <v>41548</v>
          </cell>
        </row>
        <row r="36">
          <cell r="B36">
            <v>41579</v>
          </cell>
        </row>
        <row r="37">
          <cell r="B37">
            <v>41609</v>
          </cell>
        </row>
        <row r="38">
          <cell r="B38">
            <v>41640</v>
          </cell>
        </row>
        <row r="39">
          <cell r="B39">
            <v>41671</v>
          </cell>
        </row>
        <row r="40">
          <cell r="B40">
            <v>41699</v>
          </cell>
        </row>
        <row r="41">
          <cell r="B41">
            <v>41730</v>
          </cell>
        </row>
        <row r="42">
          <cell r="B42">
            <v>41760</v>
          </cell>
        </row>
        <row r="43">
          <cell r="B43">
            <v>41791</v>
          </cell>
        </row>
        <row r="44">
          <cell r="B44">
            <v>41821</v>
          </cell>
        </row>
        <row r="45">
          <cell r="B45">
            <v>41852</v>
          </cell>
        </row>
        <row r="46">
          <cell r="B46">
            <v>41883</v>
          </cell>
        </row>
        <row r="47">
          <cell r="B47">
            <v>41913</v>
          </cell>
        </row>
        <row r="48">
          <cell r="B48">
            <v>41944</v>
          </cell>
        </row>
        <row r="49">
          <cell r="B49">
            <v>41974</v>
          </cell>
        </row>
        <row r="50">
          <cell r="B50">
            <v>42005</v>
          </cell>
        </row>
        <row r="51">
          <cell r="B51">
            <v>42036</v>
          </cell>
        </row>
        <row r="52">
          <cell r="B52">
            <v>42064</v>
          </cell>
        </row>
        <row r="53">
          <cell r="B53">
            <v>42095</v>
          </cell>
        </row>
        <row r="54">
          <cell r="B54">
            <v>42125</v>
          </cell>
        </row>
        <row r="55">
          <cell r="B55">
            <v>42156</v>
          </cell>
        </row>
        <row r="56">
          <cell r="B56">
            <v>42186</v>
          </cell>
        </row>
        <row r="57">
          <cell r="B57">
            <v>42217</v>
          </cell>
        </row>
        <row r="58">
          <cell r="B58">
            <v>42248</v>
          </cell>
        </row>
        <row r="59">
          <cell r="B59">
            <v>42278</v>
          </cell>
        </row>
        <row r="60">
          <cell r="B60">
            <v>42309</v>
          </cell>
        </row>
        <row r="61">
          <cell r="B61">
            <v>42339</v>
          </cell>
        </row>
        <row r="62">
          <cell r="B62">
            <v>42370</v>
          </cell>
        </row>
        <row r="63">
          <cell r="B63">
            <v>42401</v>
          </cell>
        </row>
        <row r="64">
          <cell r="B64">
            <v>42430</v>
          </cell>
        </row>
        <row r="65">
          <cell r="B65">
            <v>42461</v>
          </cell>
        </row>
        <row r="66">
          <cell r="B66">
            <v>42491</v>
          </cell>
        </row>
        <row r="67">
          <cell r="B67">
            <v>42522</v>
          </cell>
        </row>
        <row r="68">
          <cell r="B68">
            <v>42552</v>
          </cell>
        </row>
        <row r="69">
          <cell r="B69">
            <v>42583</v>
          </cell>
        </row>
        <row r="70">
          <cell r="B70">
            <v>42614</v>
          </cell>
        </row>
        <row r="71">
          <cell r="B71">
            <v>42644</v>
          </cell>
        </row>
        <row r="72">
          <cell r="B72">
            <v>42675</v>
          </cell>
        </row>
        <row r="73">
          <cell r="B73">
            <v>42705</v>
          </cell>
        </row>
        <row r="74">
          <cell r="B74">
            <v>42736</v>
          </cell>
        </row>
        <row r="75">
          <cell r="B75">
            <v>42767</v>
          </cell>
        </row>
        <row r="76">
          <cell r="B76">
            <v>42795</v>
          </cell>
        </row>
        <row r="77">
          <cell r="B77">
            <v>42826</v>
          </cell>
        </row>
        <row r="78">
          <cell r="B78">
            <v>42856</v>
          </cell>
        </row>
        <row r="79">
          <cell r="B79">
            <v>42887</v>
          </cell>
        </row>
        <row r="80">
          <cell r="B80">
            <v>42917</v>
          </cell>
        </row>
        <row r="81">
          <cell r="B81">
            <v>42948</v>
          </cell>
        </row>
        <row r="82">
          <cell r="B82">
            <v>42979</v>
          </cell>
        </row>
        <row r="83">
          <cell r="B83">
            <v>43009</v>
          </cell>
        </row>
        <row r="84">
          <cell r="B84">
            <v>43040</v>
          </cell>
        </row>
        <row r="85">
          <cell r="B85">
            <v>43070</v>
          </cell>
        </row>
        <row r="86">
          <cell r="B86">
            <v>43101</v>
          </cell>
        </row>
        <row r="87">
          <cell r="B87">
            <v>43132</v>
          </cell>
        </row>
        <row r="88">
          <cell r="B88">
            <v>43160</v>
          </cell>
        </row>
        <row r="89">
          <cell r="B89">
            <v>43191</v>
          </cell>
        </row>
        <row r="90">
          <cell r="B90">
            <v>43221</v>
          </cell>
        </row>
        <row r="91">
          <cell r="B91">
            <v>43252</v>
          </cell>
        </row>
        <row r="92">
          <cell r="B92">
            <v>43282</v>
          </cell>
        </row>
        <row r="93">
          <cell r="B93">
            <v>43313</v>
          </cell>
        </row>
        <row r="94">
          <cell r="B94">
            <v>43344</v>
          </cell>
        </row>
        <row r="95">
          <cell r="B95">
            <v>43374</v>
          </cell>
        </row>
        <row r="96">
          <cell r="B96">
            <v>43405</v>
          </cell>
        </row>
        <row r="97">
          <cell r="B97">
            <v>43435</v>
          </cell>
        </row>
        <row r="98">
          <cell r="B98">
            <v>43466</v>
          </cell>
        </row>
        <row r="99">
          <cell r="B99">
            <v>43497</v>
          </cell>
        </row>
        <row r="100">
          <cell r="B100">
            <v>43525</v>
          </cell>
        </row>
        <row r="101">
          <cell r="B101">
            <v>43556</v>
          </cell>
        </row>
        <row r="102">
          <cell r="B102">
            <v>43586</v>
          </cell>
        </row>
        <row r="103">
          <cell r="B103">
            <v>43617</v>
          </cell>
        </row>
        <row r="104">
          <cell r="B104">
            <v>43647</v>
          </cell>
        </row>
        <row r="105">
          <cell r="B105">
            <v>43678</v>
          </cell>
        </row>
        <row r="106">
          <cell r="B106">
            <v>43709</v>
          </cell>
        </row>
        <row r="107">
          <cell r="B107">
            <v>43739</v>
          </cell>
        </row>
        <row r="108">
          <cell r="B108">
            <v>43770</v>
          </cell>
        </row>
        <row r="109">
          <cell r="B109">
            <v>43800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All Volumes"/>
      <sheetName val="Input Data"/>
      <sheetName val="First"/>
      <sheetName val="HaughtonPS"/>
      <sheetName val=" MILLAROO ‘A’ PS"/>
      <sheetName val="CLARE ‘B’ PS"/>
      <sheetName val=" CLARE ‘A’ PS"/>
      <sheetName val=" MILLAROO ‘B’ PS"/>
      <sheetName val="DALBEG ‘A’ PS"/>
      <sheetName val=" DALBEG ‘B’ PS  "/>
      <sheetName val="ELLIOTT PS 1&amp;2"/>
      <sheetName val="ELLIOTT PS 3&amp;4"/>
      <sheetName val="Other NMI (Tariff 62)"/>
      <sheetName val="Other NMI (Tariff 65)"/>
      <sheetName val="Other NMI (Tariff 20 (small))"/>
      <sheetName val="Other NMI (Tariff 91)"/>
      <sheetName val="Other NMI (Tariff 21)"/>
      <sheetName val="Last"/>
      <sheetName val="ML Pumped"/>
      <sheetName val="LargeSiteData"/>
      <sheetName val="Summary"/>
    </sheetNames>
    <sheetDataSet>
      <sheetData sheetId="0"/>
      <sheetData sheetId="1"/>
      <sheetData sheetId="2"/>
      <sheetData sheetId="3"/>
      <sheetData sheetId="4">
        <row r="32">
          <cell r="B32">
            <v>41456</v>
          </cell>
        </row>
        <row r="33">
          <cell r="B33">
            <v>41487</v>
          </cell>
        </row>
        <row r="34">
          <cell r="B34">
            <v>41518</v>
          </cell>
        </row>
        <row r="35">
          <cell r="B35">
            <v>41548</v>
          </cell>
        </row>
        <row r="36">
          <cell r="B36">
            <v>41579</v>
          </cell>
        </row>
        <row r="37">
          <cell r="B37">
            <v>41609</v>
          </cell>
        </row>
        <row r="38">
          <cell r="B38">
            <v>41640</v>
          </cell>
        </row>
        <row r="39">
          <cell r="B39">
            <v>41671</v>
          </cell>
        </row>
        <row r="40">
          <cell r="B40">
            <v>41699</v>
          </cell>
        </row>
        <row r="41">
          <cell r="B41">
            <v>41730</v>
          </cell>
        </row>
        <row r="42">
          <cell r="B42">
            <v>41760</v>
          </cell>
        </row>
        <row r="43">
          <cell r="B43">
            <v>41791</v>
          </cell>
        </row>
        <row r="44">
          <cell r="B44">
            <v>41821</v>
          </cell>
        </row>
        <row r="45">
          <cell r="B45">
            <v>41852</v>
          </cell>
        </row>
        <row r="46">
          <cell r="B46">
            <v>41883</v>
          </cell>
        </row>
        <row r="47">
          <cell r="B47">
            <v>41913</v>
          </cell>
        </row>
        <row r="48">
          <cell r="B48">
            <v>41944</v>
          </cell>
        </row>
        <row r="49">
          <cell r="B49">
            <v>41974</v>
          </cell>
        </row>
        <row r="50">
          <cell r="B50">
            <v>42005</v>
          </cell>
        </row>
        <row r="51">
          <cell r="B51">
            <v>42036</v>
          </cell>
        </row>
        <row r="52">
          <cell r="B52">
            <v>42064</v>
          </cell>
        </row>
        <row r="53">
          <cell r="B53">
            <v>42095</v>
          </cell>
        </row>
        <row r="54">
          <cell r="B54">
            <v>42125</v>
          </cell>
        </row>
        <row r="55">
          <cell r="B55">
            <v>42156</v>
          </cell>
        </row>
        <row r="56">
          <cell r="B56">
            <v>42186</v>
          </cell>
        </row>
        <row r="57">
          <cell r="B57">
            <v>42217</v>
          </cell>
        </row>
        <row r="58">
          <cell r="B58">
            <v>42248</v>
          </cell>
        </row>
        <row r="59">
          <cell r="B59">
            <v>42278</v>
          </cell>
        </row>
        <row r="60">
          <cell r="B60">
            <v>42309</v>
          </cell>
        </row>
        <row r="61">
          <cell r="B61">
            <v>42339</v>
          </cell>
        </row>
        <row r="62">
          <cell r="B62">
            <v>42370</v>
          </cell>
        </row>
        <row r="63">
          <cell r="B63">
            <v>42401</v>
          </cell>
        </row>
        <row r="64">
          <cell r="B64">
            <v>42430</v>
          </cell>
        </row>
        <row r="65">
          <cell r="B65">
            <v>42461</v>
          </cell>
        </row>
        <row r="66">
          <cell r="B66">
            <v>42491</v>
          </cell>
        </row>
        <row r="67">
          <cell r="B67">
            <v>42522</v>
          </cell>
        </row>
        <row r="68">
          <cell r="B68">
            <v>42552</v>
          </cell>
        </row>
        <row r="69">
          <cell r="B69">
            <v>42583</v>
          </cell>
        </row>
        <row r="70">
          <cell r="B70">
            <v>42614</v>
          </cell>
        </row>
        <row r="71">
          <cell r="B71">
            <v>42644</v>
          </cell>
        </row>
        <row r="72">
          <cell r="B72">
            <v>42675</v>
          </cell>
        </row>
        <row r="73">
          <cell r="B73">
            <v>42705</v>
          </cell>
        </row>
        <row r="74">
          <cell r="B74">
            <v>42736</v>
          </cell>
        </row>
        <row r="75">
          <cell r="B75">
            <v>42767</v>
          </cell>
        </row>
        <row r="76">
          <cell r="B76">
            <v>42795</v>
          </cell>
        </row>
        <row r="77">
          <cell r="B77">
            <v>42826</v>
          </cell>
        </row>
        <row r="78">
          <cell r="B78">
            <v>42856</v>
          </cell>
        </row>
        <row r="79">
          <cell r="B79">
            <v>42887</v>
          </cell>
        </row>
        <row r="80">
          <cell r="B80">
            <v>42917</v>
          </cell>
        </row>
        <row r="81">
          <cell r="B81">
            <v>42948</v>
          </cell>
        </row>
        <row r="82">
          <cell r="B82">
            <v>42979</v>
          </cell>
        </row>
        <row r="83">
          <cell r="B83">
            <v>43009</v>
          </cell>
        </row>
        <row r="84">
          <cell r="B84">
            <v>43040</v>
          </cell>
        </row>
        <row r="85">
          <cell r="B85">
            <v>43070</v>
          </cell>
        </row>
        <row r="86">
          <cell r="B86">
            <v>43101</v>
          </cell>
        </row>
        <row r="87">
          <cell r="B87">
            <v>43132</v>
          </cell>
        </row>
        <row r="88">
          <cell r="B88">
            <v>43160</v>
          </cell>
        </row>
        <row r="89">
          <cell r="B89">
            <v>43191</v>
          </cell>
        </row>
        <row r="90">
          <cell r="B90">
            <v>43221</v>
          </cell>
        </row>
        <row r="91">
          <cell r="B91">
            <v>43252</v>
          </cell>
        </row>
        <row r="92">
          <cell r="B92">
            <v>43282</v>
          </cell>
        </row>
        <row r="93">
          <cell r="B93">
            <v>43313</v>
          </cell>
        </row>
        <row r="94">
          <cell r="B94">
            <v>43344</v>
          </cell>
        </row>
        <row r="95">
          <cell r="B95">
            <v>43374</v>
          </cell>
        </row>
        <row r="96">
          <cell r="B96">
            <v>43405</v>
          </cell>
        </row>
        <row r="97">
          <cell r="B97">
            <v>43435</v>
          </cell>
        </row>
        <row r="98">
          <cell r="B98">
            <v>43466</v>
          </cell>
        </row>
        <row r="99">
          <cell r="B99">
            <v>43497</v>
          </cell>
        </row>
        <row r="100">
          <cell r="B100">
            <v>43525</v>
          </cell>
        </row>
        <row r="101">
          <cell r="B101">
            <v>43556</v>
          </cell>
        </row>
        <row r="102">
          <cell r="B102">
            <v>43586</v>
          </cell>
        </row>
        <row r="103">
          <cell r="B103">
            <v>43617</v>
          </cell>
        </row>
        <row r="104">
          <cell r="B104">
            <v>43647</v>
          </cell>
        </row>
        <row r="105">
          <cell r="B105">
            <v>43678</v>
          </cell>
        </row>
        <row r="106">
          <cell r="B106">
            <v>43709</v>
          </cell>
        </row>
        <row r="107">
          <cell r="B107">
            <v>43739</v>
          </cell>
        </row>
        <row r="108">
          <cell r="B108">
            <v>43770</v>
          </cell>
        </row>
        <row r="109">
          <cell r="B109">
            <v>43800</v>
          </cell>
        </row>
      </sheetData>
      <sheetData sheetId="5">
        <row r="32">
          <cell r="B32">
            <v>41485</v>
          </cell>
        </row>
        <row r="33">
          <cell r="B33">
            <v>41516</v>
          </cell>
        </row>
        <row r="34">
          <cell r="B34">
            <v>41547</v>
          </cell>
        </row>
        <row r="35">
          <cell r="B35">
            <v>41577</v>
          </cell>
        </row>
        <row r="36">
          <cell r="B36">
            <v>41608</v>
          </cell>
        </row>
        <row r="37">
          <cell r="B37">
            <v>41639</v>
          </cell>
        </row>
        <row r="38">
          <cell r="B38">
            <v>41670</v>
          </cell>
        </row>
        <row r="39">
          <cell r="B39">
            <v>41698</v>
          </cell>
        </row>
        <row r="40">
          <cell r="B40">
            <v>41729</v>
          </cell>
        </row>
        <row r="41">
          <cell r="B41">
            <v>41759</v>
          </cell>
        </row>
        <row r="42">
          <cell r="B42">
            <v>41790</v>
          </cell>
        </row>
        <row r="43">
          <cell r="B43">
            <v>41820</v>
          </cell>
        </row>
        <row r="44">
          <cell r="B44">
            <v>41851</v>
          </cell>
        </row>
        <row r="45">
          <cell r="B45">
            <v>41882</v>
          </cell>
        </row>
        <row r="46">
          <cell r="B46">
            <v>41912</v>
          </cell>
        </row>
        <row r="47">
          <cell r="B47">
            <v>41943</v>
          </cell>
        </row>
        <row r="48">
          <cell r="B48">
            <v>41973</v>
          </cell>
        </row>
        <row r="49">
          <cell r="B49">
            <v>42004</v>
          </cell>
        </row>
        <row r="50">
          <cell r="B50">
            <v>42035</v>
          </cell>
        </row>
        <row r="51">
          <cell r="B51">
            <v>42063</v>
          </cell>
        </row>
        <row r="52">
          <cell r="B52">
            <v>42094</v>
          </cell>
        </row>
        <row r="53">
          <cell r="B53">
            <v>42124</v>
          </cell>
        </row>
        <row r="54">
          <cell r="B54">
            <v>42155</v>
          </cell>
        </row>
        <row r="55">
          <cell r="B55">
            <v>42185</v>
          </cell>
        </row>
        <row r="56">
          <cell r="B56">
            <v>42216</v>
          </cell>
        </row>
        <row r="57">
          <cell r="B57">
            <v>42247</v>
          </cell>
        </row>
        <row r="58">
          <cell r="B58">
            <v>42277</v>
          </cell>
        </row>
        <row r="59">
          <cell r="B59">
            <v>42308</v>
          </cell>
        </row>
        <row r="60">
          <cell r="B60">
            <v>42338</v>
          </cell>
        </row>
        <row r="61">
          <cell r="B61">
            <v>42369</v>
          </cell>
        </row>
        <row r="62">
          <cell r="B62">
            <v>42400</v>
          </cell>
        </row>
        <row r="63">
          <cell r="B63">
            <v>42429</v>
          </cell>
        </row>
        <row r="64">
          <cell r="B64">
            <v>42460</v>
          </cell>
        </row>
        <row r="65">
          <cell r="B65">
            <v>42490</v>
          </cell>
        </row>
        <row r="66">
          <cell r="B66">
            <v>42521</v>
          </cell>
        </row>
        <row r="67">
          <cell r="B67">
            <v>42551</v>
          </cell>
        </row>
        <row r="68">
          <cell r="B68">
            <v>42582</v>
          </cell>
        </row>
        <row r="69">
          <cell r="B69">
            <v>42613</v>
          </cell>
        </row>
        <row r="70">
          <cell r="B70">
            <v>42643</v>
          </cell>
        </row>
        <row r="71">
          <cell r="B71">
            <v>42674</v>
          </cell>
        </row>
        <row r="72">
          <cell r="B72">
            <v>42704</v>
          </cell>
        </row>
        <row r="73">
          <cell r="B73">
            <v>42735</v>
          </cell>
        </row>
        <row r="74">
          <cell r="B74">
            <v>42766</v>
          </cell>
        </row>
        <row r="75">
          <cell r="B75">
            <v>42794</v>
          </cell>
        </row>
        <row r="76">
          <cell r="B76">
            <v>42825</v>
          </cell>
        </row>
        <row r="77">
          <cell r="B77">
            <v>42855</v>
          </cell>
        </row>
        <row r="78">
          <cell r="B78">
            <v>42886</v>
          </cell>
        </row>
        <row r="79">
          <cell r="B79">
            <v>42916</v>
          </cell>
        </row>
        <row r="80">
          <cell r="B80">
            <v>42947</v>
          </cell>
        </row>
        <row r="81">
          <cell r="B81">
            <v>42978</v>
          </cell>
        </row>
        <row r="82">
          <cell r="B82">
            <v>43008</v>
          </cell>
        </row>
        <row r="83">
          <cell r="B83">
            <v>43039</v>
          </cell>
        </row>
        <row r="84">
          <cell r="B84">
            <v>43069</v>
          </cell>
        </row>
        <row r="85">
          <cell r="B85">
            <v>43100</v>
          </cell>
        </row>
        <row r="86">
          <cell r="B86">
            <v>43131</v>
          </cell>
        </row>
        <row r="87">
          <cell r="B87">
            <v>43159</v>
          </cell>
        </row>
        <row r="88">
          <cell r="B88">
            <v>43190</v>
          </cell>
        </row>
        <row r="89">
          <cell r="B89">
            <v>43220</v>
          </cell>
        </row>
        <row r="90">
          <cell r="B90">
            <v>43251</v>
          </cell>
        </row>
        <row r="91">
          <cell r="B91">
            <v>43281</v>
          </cell>
        </row>
        <row r="92">
          <cell r="B92">
            <v>43312</v>
          </cell>
        </row>
        <row r="93">
          <cell r="B93">
            <v>43343</v>
          </cell>
        </row>
        <row r="94">
          <cell r="B94">
            <v>43373</v>
          </cell>
        </row>
        <row r="95">
          <cell r="B95">
            <v>43404</v>
          </cell>
        </row>
        <row r="96">
          <cell r="B96">
            <v>43434</v>
          </cell>
        </row>
        <row r="97">
          <cell r="B97">
            <v>43465</v>
          </cell>
        </row>
        <row r="98">
          <cell r="B98">
            <v>43496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6"/>
  <sheetViews>
    <sheetView tabSelected="1" zoomScale="60" zoomScaleNormal="60" workbookViewId="0">
      <selection activeCell="A3" sqref="A3"/>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3" customWidth="1"/>
    <col min="19" max="19" width="15.7109375" customWidth="1"/>
  </cols>
  <sheetData>
    <row r="2" spans="1:15" x14ac:dyDescent="0.25">
      <c r="B2" s="1"/>
    </row>
    <row r="3" spans="1:15" ht="15" customHeight="1" x14ac:dyDescent="0.25">
      <c r="C3" s="69"/>
      <c r="D3" s="69"/>
      <c r="E3" s="69"/>
      <c r="F3" s="69"/>
      <c r="G3" s="69"/>
      <c r="H3" s="69"/>
      <c r="I3" s="69"/>
      <c r="J3" s="69"/>
      <c r="K3" s="69"/>
      <c r="L3" s="69"/>
      <c r="M3" s="69"/>
      <c r="N3" s="69"/>
      <c r="O3" s="69"/>
    </row>
    <row r="4" spans="1:15" ht="74.25" customHeight="1" x14ac:dyDescent="0.25">
      <c r="C4" s="81" t="s">
        <v>56</v>
      </c>
      <c r="D4" s="81"/>
      <c r="E4" s="81"/>
      <c r="F4" s="81"/>
      <c r="G4" s="81"/>
      <c r="H4" s="81"/>
      <c r="I4" s="81"/>
      <c r="J4" s="81"/>
      <c r="K4" s="81"/>
      <c r="L4" s="81"/>
      <c r="M4" s="81"/>
      <c r="N4" s="81"/>
      <c r="O4" s="81"/>
    </row>
    <row r="5" spans="1:15" ht="40.5" customHeight="1" x14ac:dyDescent="0.25">
      <c r="C5" s="2" t="s">
        <v>48</v>
      </c>
      <c r="D5" s="2"/>
      <c r="E5" s="2"/>
      <c r="F5" s="2"/>
      <c r="G5" s="2"/>
      <c r="H5" s="2"/>
      <c r="I5" s="3"/>
      <c r="J5" s="4" t="s">
        <v>0</v>
      </c>
      <c r="K5" s="79" t="s">
        <v>1</v>
      </c>
      <c r="L5" s="80"/>
      <c r="M5" s="80"/>
      <c r="N5" s="80"/>
      <c r="O5" s="80"/>
    </row>
    <row r="6" spans="1:15" ht="59.25" customHeight="1" x14ac:dyDescent="0.25">
      <c r="C6" s="5" t="s">
        <v>2</v>
      </c>
      <c r="D6" s="5" t="s">
        <v>52</v>
      </c>
      <c r="E6" s="5" t="s">
        <v>30</v>
      </c>
      <c r="F6" s="5" t="s">
        <v>31</v>
      </c>
      <c r="G6" s="5" t="s">
        <v>33</v>
      </c>
      <c r="H6" s="5" t="s">
        <v>4</v>
      </c>
      <c r="I6" s="6" t="s">
        <v>5</v>
      </c>
      <c r="J6" s="7" t="s">
        <v>6</v>
      </c>
      <c r="K6" s="8" t="s">
        <v>7</v>
      </c>
      <c r="L6" s="8" t="s">
        <v>8</v>
      </c>
      <c r="M6" s="8" t="s">
        <v>34</v>
      </c>
      <c r="N6" s="8" t="s">
        <v>9</v>
      </c>
      <c r="O6" s="8" t="s">
        <v>10</v>
      </c>
    </row>
    <row r="7" spans="1:15" ht="15.75" thickBot="1" x14ac:dyDescent="0.3">
      <c r="A7" s="9"/>
      <c r="B7" s="9"/>
      <c r="C7" s="10" t="s">
        <v>11</v>
      </c>
      <c r="D7" s="11">
        <v>436687</v>
      </c>
      <c r="E7" s="11">
        <v>28186486.657841962</v>
      </c>
      <c r="F7" s="12">
        <v>255647.68</v>
      </c>
      <c r="G7" s="12">
        <f>1103106.12888551-(0.124037110537325*1103106.12888551)</f>
        <v>966280.03204253723</v>
      </c>
      <c r="H7" s="11">
        <f>6266262.18777863-(0.124037110537325*6266262.18777863)</f>
        <v>5489013.1321372725</v>
      </c>
      <c r="I7" s="13">
        <f>H7/F7</f>
        <v>21.471007020823631</v>
      </c>
      <c r="J7" s="14">
        <f>$I$13*F7-H7</f>
        <v>-559452.00854400266</v>
      </c>
      <c r="K7" s="15">
        <f>E19</f>
        <v>7.5962242435572431</v>
      </c>
      <c r="L7" s="16">
        <f>K7*$D$15</f>
        <v>2369253.5299453819</v>
      </c>
      <c r="M7" s="16">
        <f>H7-L7</f>
        <v>3119759.6021918906</v>
      </c>
      <c r="N7" s="16">
        <f>LINEST('Burdekin DS'!$H$7:$H$11,'Burdekin DS'!$F$7:$F$11)*F7</f>
        <v>2731544.6953422008</v>
      </c>
      <c r="O7" s="17">
        <f>L7+N7-H7</f>
        <v>-388214.90684968978</v>
      </c>
    </row>
    <row r="8" spans="1:15" ht="16.5" thickTop="1" thickBot="1" x14ac:dyDescent="0.3">
      <c r="A8" s="9"/>
      <c r="B8" s="9"/>
      <c r="C8" s="10" t="s">
        <v>12</v>
      </c>
      <c r="D8" s="11">
        <v>476551</v>
      </c>
      <c r="E8" s="11">
        <v>29399352.330571167</v>
      </c>
      <c r="F8" s="12">
        <v>320524.71000000002</v>
      </c>
      <c r="G8" s="12">
        <f>1103669.1343999-(0.124037110537325*1103669.1343999)</f>
        <v>966773.20397970581</v>
      </c>
      <c r="H8" s="11">
        <f>6776549.05107077-(0.124037110537325*6776549.05107077)</f>
        <v>5936005.4873615</v>
      </c>
      <c r="I8" s="13">
        <f>H8/F8</f>
        <v>18.519650130442361</v>
      </c>
      <c r="J8" s="14">
        <f>$I$13*F8-H8</f>
        <v>244555.78183134831</v>
      </c>
      <c r="K8" s="18">
        <f t="shared" ref="K8:K11" si="0">K7</f>
        <v>7.5962242435572431</v>
      </c>
      <c r="L8" s="16">
        <f>K8*$D$15</f>
        <v>2369253.5299453819</v>
      </c>
      <c r="M8" s="16">
        <f t="shared" ref="M8:M11" si="1">H8-L8</f>
        <v>3566751.9574161181</v>
      </c>
      <c r="N8" s="16">
        <f>LINEST('Burdekin DS'!$H$7:$H$11,'Burdekin DS'!$F$7:$F$11)*F8</f>
        <v>3424742.8778802035</v>
      </c>
      <c r="O8" s="17">
        <f>L8+N8-H8</f>
        <v>-142009.07953591458</v>
      </c>
    </row>
    <row r="9" spans="1:15" ht="16.5" thickTop="1" thickBot="1" x14ac:dyDescent="0.3">
      <c r="A9" s="9"/>
      <c r="B9" s="9"/>
      <c r="C9" s="10" t="s">
        <v>13</v>
      </c>
      <c r="D9" s="11">
        <v>362747</v>
      </c>
      <c r="E9" s="11">
        <v>25615135.609999999</v>
      </c>
      <c r="F9" s="12">
        <v>269882.81</v>
      </c>
      <c r="G9" s="12">
        <f>1046022.91333736-(0.124037110537325*1046022.91333736)</f>
        <v>916277.25361115916</v>
      </c>
      <c r="H9" s="11">
        <f>5850129.51106017-(0.124037110537325*5850129.51106017)</f>
        <v>5124496.3502391325</v>
      </c>
      <c r="I9" s="13">
        <f>H9/F9</f>
        <v>18.987857545425484</v>
      </c>
      <c r="J9" s="14">
        <f>$I$13*F9-H9</f>
        <v>79555.601658529602</v>
      </c>
      <c r="K9" s="18">
        <f t="shared" si="0"/>
        <v>7.5962242435572431</v>
      </c>
      <c r="L9" s="16">
        <f>K9*$D$15</f>
        <v>2369253.5299453819</v>
      </c>
      <c r="M9" s="16">
        <f t="shared" si="1"/>
        <v>2755242.8202937506</v>
      </c>
      <c r="N9" s="16">
        <f>LINEST('Burdekin DS'!$H$7:$H$11,'Burdekin DS'!$F$7:$F$11)*F9</f>
        <v>2883644.2326390254</v>
      </c>
      <c r="O9" s="17">
        <f>L9+N9-H9</f>
        <v>128401.41234527435</v>
      </c>
    </row>
    <row r="10" spans="1:15" ht="16.5" thickTop="1" thickBot="1" x14ac:dyDescent="0.3">
      <c r="A10" s="9"/>
      <c r="B10" s="9"/>
      <c r="C10" s="10" t="s">
        <v>14</v>
      </c>
      <c r="D10" s="11">
        <v>284540</v>
      </c>
      <c r="E10" s="11">
        <v>23234194.439999998</v>
      </c>
      <c r="F10" s="12">
        <v>242872.91999999998</v>
      </c>
      <c r="G10" s="12">
        <f>1129942.55431264-(0.124037110537325*1129942.55431264)</f>
        <v>989787.74480253574</v>
      </c>
      <c r="H10" s="11">
        <f>5519080.32361135-(0.124037110537325*5519080.32361135)</f>
        <v>4834509.5474471934</v>
      </c>
      <c r="I10" s="13">
        <f>H10/F10</f>
        <v>19.905510863241542</v>
      </c>
      <c r="J10" s="14">
        <f>$I$13*F10-H10</f>
        <v>-151279.46921774</v>
      </c>
      <c r="K10" s="18">
        <f t="shared" si="0"/>
        <v>7.5962242435572431</v>
      </c>
      <c r="L10" s="16">
        <f>K10*$D$15</f>
        <v>2369253.5299453819</v>
      </c>
      <c r="M10" s="16">
        <f t="shared" si="1"/>
        <v>2465256.0175018115</v>
      </c>
      <c r="N10" s="16">
        <f>LINEST('Burdekin DS'!$H$7:$H$11,'Burdekin DS'!$F$7:$F$11)*F10</f>
        <v>2595048.9215011485</v>
      </c>
      <c r="O10" s="17">
        <f>L10+N10-H10</f>
        <v>129792.903999337</v>
      </c>
    </row>
    <row r="11" spans="1:15" ht="16.5" thickTop="1" thickBot="1" x14ac:dyDescent="0.3">
      <c r="A11" s="9"/>
      <c r="B11" s="9"/>
      <c r="C11" s="10" t="s">
        <v>15</v>
      </c>
      <c r="D11" s="11">
        <v>357963</v>
      </c>
      <c r="E11" s="11">
        <v>25826315.840000004</v>
      </c>
      <c r="F11" s="12">
        <v>288891.81</v>
      </c>
      <c r="G11" s="12">
        <f>1099541.00726099-(0.124037110537325*1099541.00726099)</f>
        <v>963157.11780303693</v>
      </c>
      <c r="H11" s="11">
        <f>5918030.9407797-(0.124037110537325*5918030.9407797)</f>
        <v>5183975.4828148987</v>
      </c>
      <c r="I11" s="13">
        <f>H11/F11</f>
        <v>17.944349072460376</v>
      </c>
      <c r="J11" s="14">
        <f>$I$13*F11-H11</f>
        <v>386620.0942718694</v>
      </c>
      <c r="K11" s="18">
        <f t="shared" si="0"/>
        <v>7.5962242435572431</v>
      </c>
      <c r="L11" s="16">
        <f>K11*$D$15</f>
        <v>2369253.5299453819</v>
      </c>
      <c r="M11" s="16">
        <f t="shared" si="1"/>
        <v>2814721.9528695168</v>
      </c>
      <c r="N11" s="16">
        <f>LINEST('Burdekin DS'!$H$7:$H$11,'Burdekin DS'!$F$7:$F$11)*F11</f>
        <v>3086751.6229105112</v>
      </c>
      <c r="O11" s="17">
        <f>L11+N11-H11</f>
        <v>272029.67004099488</v>
      </c>
    </row>
    <row r="12" spans="1:15" ht="16.5" thickTop="1" thickBot="1" x14ac:dyDescent="0.3">
      <c r="C12" s="10" t="s">
        <v>53</v>
      </c>
      <c r="D12" s="11">
        <v>295519.40000000002</v>
      </c>
      <c r="E12" s="11">
        <v>20406121.719999999</v>
      </c>
      <c r="F12" s="12">
        <v>0</v>
      </c>
      <c r="G12" s="12"/>
      <c r="H12" s="11"/>
      <c r="I12" s="70"/>
      <c r="J12" s="71"/>
      <c r="K12" s="72"/>
      <c r="L12" s="19"/>
      <c r="M12" s="19"/>
      <c r="N12" s="19"/>
      <c r="O12" s="73"/>
    </row>
    <row r="13" spans="1:15" ht="15.75" thickTop="1" x14ac:dyDescent="0.25">
      <c r="C13" s="20" t="s">
        <v>16</v>
      </c>
      <c r="D13" s="21">
        <f>AVERAGE(D7:D11)</f>
        <v>383697.6</v>
      </c>
      <c r="E13" s="21">
        <f>AVERAGE(E7:E11)</f>
        <v>26452296.975682624</v>
      </c>
      <c r="F13" s="21">
        <f>AVERAGE(F7:F11)</f>
        <v>275563.98599999998</v>
      </c>
      <c r="G13" s="21">
        <f>AVERAGE(G7:G11)</f>
        <v>960455.07044779509</v>
      </c>
      <c r="H13" s="21">
        <f>AVERAGE(H7:H11)</f>
        <v>5313600</v>
      </c>
      <c r="I13" s="22">
        <f>H13/F13</f>
        <v>19.282635866647684</v>
      </c>
      <c r="J13" s="23"/>
      <c r="K13" s="24"/>
      <c r="L13" s="25"/>
      <c r="M13" s="25"/>
      <c r="N13" s="25"/>
      <c r="O13" s="26"/>
    </row>
    <row r="14" spans="1:15" ht="15.75" thickBot="1" x14ac:dyDescent="0.3">
      <c r="C14" s="27"/>
      <c r="D14" s="28"/>
      <c r="E14" s="28"/>
      <c r="F14" s="28"/>
      <c r="G14" s="28"/>
      <c r="H14" s="74"/>
      <c r="I14" s="60"/>
      <c r="J14" s="19"/>
      <c r="K14" s="19"/>
      <c r="L14" s="19"/>
      <c r="M14" s="19"/>
    </row>
    <row r="15" spans="1:15" ht="15.75" thickBot="1" x14ac:dyDescent="0.3">
      <c r="C15" s="31" t="s">
        <v>17</v>
      </c>
      <c r="D15" s="32">
        <v>311898.84000000003</v>
      </c>
      <c r="E15" s="33" t="s">
        <v>18</v>
      </c>
      <c r="F15" s="32">
        <f>F13</f>
        <v>275563.98599999998</v>
      </c>
      <c r="G15" s="28"/>
      <c r="H15" s="78"/>
      <c r="I15" s="59"/>
      <c r="J15" s="19"/>
      <c r="K15" s="19"/>
      <c r="L15" s="19"/>
      <c r="M15" s="19"/>
    </row>
    <row r="16" spans="1:15" x14ac:dyDescent="0.25">
      <c r="I16" s="38"/>
    </row>
    <row r="17" spans="3:13" x14ac:dyDescent="0.25">
      <c r="C17" s="34"/>
      <c r="D17" s="34" t="s">
        <v>19</v>
      </c>
      <c r="E17" s="34" t="s">
        <v>20</v>
      </c>
      <c r="F17" s="34" t="s">
        <v>21</v>
      </c>
      <c r="I17" s="80" t="s">
        <v>22</v>
      </c>
      <c r="J17" s="80"/>
      <c r="K17" s="80"/>
      <c r="L17" s="80"/>
      <c r="M17" s="80"/>
    </row>
    <row r="18" spans="3:13" ht="45" x14ac:dyDescent="0.25">
      <c r="C18" s="34"/>
      <c r="D18" s="34" t="s">
        <v>23</v>
      </c>
      <c r="E18" s="34" t="s">
        <v>24</v>
      </c>
      <c r="F18" s="34" t="s">
        <v>25</v>
      </c>
      <c r="I18" s="35"/>
      <c r="J18" s="8" t="s">
        <v>7</v>
      </c>
      <c r="K18" s="8" t="s">
        <v>8</v>
      </c>
      <c r="L18" s="8" t="s">
        <v>9</v>
      </c>
      <c r="M18" s="8" t="s">
        <v>10</v>
      </c>
    </row>
    <row r="19" spans="3:13" ht="30.75" thickBot="1" x14ac:dyDescent="0.3">
      <c r="C19" s="36" t="s">
        <v>26</v>
      </c>
      <c r="D19" s="37">
        <v>0</v>
      </c>
      <c r="E19" s="37">
        <f>IF(AND(INTERCEPT(H7:H11,F7:F11)&lt;AVERAGE(H7:H11),INTERCEPT(H7:H11,F7:F11)/D15&gt;0),(INTERCEPT(H7:H11,F7:F11))/D15,AVERAGE(G7:G11)/D15)</f>
        <v>7.5962242435572431</v>
      </c>
      <c r="F19" s="37">
        <v>8.8409063553909721</v>
      </c>
      <c r="G19" s="38"/>
      <c r="I19" s="39" t="s">
        <v>11</v>
      </c>
      <c r="J19" s="15">
        <f>F19</f>
        <v>8.8409063553909721</v>
      </c>
      <c r="K19" s="16">
        <f>J19*$D$15</f>
        <v>2757468.4367950722</v>
      </c>
      <c r="L19" s="16">
        <f>(IF($E$19=INTERCEPT($H$7:$H$11,$F$7:$F$11)/$D$15,LINEST($M$7:$M$11,$F$7:$F$11),(SUM($M$7:$M$11)/(SUM($F$7:$F$11)))))*F7</f>
        <v>2731544.6953422008</v>
      </c>
      <c r="M19" s="17">
        <f>K19+L19-H7</f>
        <v>0</v>
      </c>
    </row>
    <row r="20" spans="3:13" ht="30.75" thickBot="1" x14ac:dyDescent="0.3">
      <c r="C20" s="36" t="s">
        <v>27</v>
      </c>
      <c r="D20" s="37">
        <f>I13</f>
        <v>19.282635866647684</v>
      </c>
      <c r="E20" s="37">
        <f>IF(E19=INTERCEPT(H7:H11,F7:F11)/D15,LINEST(M7:M11,F7:F11),(SUM(M7:M11)/(SUM(F7:F11))))</f>
        <v>10.684801424140446</v>
      </c>
      <c r="F20" s="37">
        <f>E20</f>
        <v>10.684801424140446</v>
      </c>
      <c r="G20" s="40"/>
      <c r="H20" s="40"/>
      <c r="I20" s="39" t="s">
        <v>12</v>
      </c>
      <c r="J20" s="15">
        <f t="shared" ref="J20:J23" si="2">J19</f>
        <v>8.8409063553909721</v>
      </c>
      <c r="K20" s="16">
        <f>J20*$D$15</f>
        <v>2757468.4367950722</v>
      </c>
      <c r="L20" s="16">
        <f t="shared" ref="L20:L23" si="3">(IF($E$19=INTERCEPT($H$7:$H$11,$F$7:$F$11)/$D$15,LINEST($M$7:$M$11,$F$7:$F$11),(SUM($M$7:$M$11)/(SUM($F$7:$F$11)))))*F8</f>
        <v>3424742.8778802035</v>
      </c>
      <c r="M20" s="17">
        <f>K20+L20-H8</f>
        <v>246205.8273137752</v>
      </c>
    </row>
    <row r="21" spans="3:13" ht="30.75" thickBot="1" x14ac:dyDescent="0.3">
      <c r="C21" s="41" t="s">
        <v>49</v>
      </c>
      <c r="D21" s="42">
        <f>MIN(J7:J11)</f>
        <v>-559452.00854400266</v>
      </c>
      <c r="E21" s="42">
        <f>MIN(O7:O11)</f>
        <v>-388214.90684968978</v>
      </c>
      <c r="F21" s="42">
        <f>MIN(M19:M23)</f>
        <v>0</v>
      </c>
      <c r="G21" s="40"/>
      <c r="H21" s="40"/>
      <c r="I21" s="39" t="s">
        <v>13</v>
      </c>
      <c r="J21" s="15">
        <f t="shared" si="2"/>
        <v>8.8409063553909721</v>
      </c>
      <c r="K21" s="16">
        <f>J21*$D$15</f>
        <v>2757468.4367950722</v>
      </c>
      <c r="L21" s="16">
        <f t="shared" si="3"/>
        <v>2883644.2326390254</v>
      </c>
      <c r="M21" s="17">
        <f>K21+L21-H9</f>
        <v>516616.31919496506</v>
      </c>
    </row>
    <row r="22" spans="3:13" ht="30.75" thickBot="1" x14ac:dyDescent="0.3">
      <c r="C22" s="36" t="s">
        <v>50</v>
      </c>
      <c r="D22" s="42">
        <f>MAX(J7:J11)</f>
        <v>386620.0942718694</v>
      </c>
      <c r="E22" s="43">
        <f>MAX(O7:O11)</f>
        <v>272029.67004099488</v>
      </c>
      <c r="F22" s="43">
        <f>MAX(M19:M23)</f>
        <v>660244.57689068466</v>
      </c>
      <c r="I22" s="39" t="s">
        <v>14</v>
      </c>
      <c r="J22" s="15">
        <f t="shared" si="2"/>
        <v>8.8409063553909721</v>
      </c>
      <c r="K22" s="16">
        <f>J22*$D$15</f>
        <v>2757468.4367950722</v>
      </c>
      <c r="L22" s="16">
        <f t="shared" si="3"/>
        <v>2595048.9215011485</v>
      </c>
      <c r="M22" s="17">
        <f>K22+L22-H10</f>
        <v>518007.81084902771</v>
      </c>
    </row>
    <row r="23" spans="3:13" ht="15.75" thickBot="1" x14ac:dyDescent="0.3">
      <c r="C23" s="36" t="s">
        <v>51</v>
      </c>
      <c r="D23" s="43">
        <f>AVERAGE(J7:J11)</f>
        <v>9.3132257461547852E-10</v>
      </c>
      <c r="E23" s="43">
        <f>AVERAGE(O7:O11)</f>
        <v>3.7252902984619143E-10</v>
      </c>
      <c r="F23" s="43">
        <f>AVERAGE(M19:M23)</f>
        <v>388214.90684969054</v>
      </c>
      <c r="I23" s="44" t="s">
        <v>15</v>
      </c>
      <c r="J23" s="45">
        <f t="shared" si="2"/>
        <v>8.8409063553909721</v>
      </c>
      <c r="K23" s="46">
        <f>J23*$D$15</f>
        <v>2757468.4367950722</v>
      </c>
      <c r="L23" s="46">
        <f t="shared" si="3"/>
        <v>3086751.6229105112</v>
      </c>
      <c r="M23" s="47">
        <f>K23+L23-H11</f>
        <v>660244.57689068466</v>
      </c>
    </row>
    <row r="26" spans="3:13" x14ac:dyDescent="0.25">
      <c r="C26" t="s">
        <v>54</v>
      </c>
    </row>
  </sheetData>
  <mergeCells count="3">
    <mergeCell ref="K5:O5"/>
    <mergeCell ref="C4:O4"/>
    <mergeCell ref="I17:M17"/>
  </mergeCells>
  <conditionalFormatting sqref="D21:F23">
    <cfRule type="cellIs" dxfId="19" priority="2" operator="lessThan">
      <formula>0</formula>
    </cfRule>
  </conditionalFormatting>
  <conditionalFormatting sqref="J7:J11 O7:O11 M19:M23">
    <cfRule type="cellIs" dxfId="18" priority="1" operator="lessThan">
      <formula>0</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workbookViewId="0"/>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s>
  <sheetData>
    <row r="2" spans="1:15" x14ac:dyDescent="0.25">
      <c r="B2" s="1"/>
    </row>
    <row r="4" spans="1:15" ht="49.5" customHeight="1" x14ac:dyDescent="0.25">
      <c r="C4" s="81" t="s">
        <v>55</v>
      </c>
      <c r="D4" s="81"/>
      <c r="E4" s="81"/>
      <c r="F4" s="81"/>
      <c r="G4" s="81"/>
      <c r="H4" s="81"/>
      <c r="I4" s="81"/>
      <c r="J4" s="81"/>
      <c r="K4" s="81"/>
      <c r="L4" s="81"/>
      <c r="M4" s="81"/>
      <c r="N4" s="81"/>
      <c r="O4" s="81"/>
    </row>
    <row r="5" spans="1:15" ht="40.5" customHeight="1" x14ac:dyDescent="0.25">
      <c r="C5" s="2" t="s">
        <v>47</v>
      </c>
      <c r="D5" s="2"/>
      <c r="E5" s="2"/>
      <c r="F5" s="2"/>
      <c r="G5" s="3"/>
      <c r="H5" s="4" t="s">
        <v>0</v>
      </c>
      <c r="I5" s="80" t="s">
        <v>1</v>
      </c>
      <c r="J5" s="80"/>
      <c r="K5" s="80"/>
      <c r="L5" s="80"/>
    </row>
    <row r="6" spans="1:15" ht="59.25" customHeight="1" x14ac:dyDescent="0.25">
      <c r="C6" s="5" t="s">
        <v>2</v>
      </c>
      <c r="D6" s="5" t="s">
        <v>3</v>
      </c>
      <c r="E6" s="5" t="s">
        <v>31</v>
      </c>
      <c r="F6" s="5" t="s">
        <v>4</v>
      </c>
      <c r="G6" s="6" t="s">
        <v>5</v>
      </c>
      <c r="H6" s="7" t="s">
        <v>6</v>
      </c>
      <c r="I6" s="8" t="s">
        <v>7</v>
      </c>
      <c r="J6" s="8" t="s">
        <v>8</v>
      </c>
      <c r="K6" s="8" t="s">
        <v>9</v>
      </c>
      <c r="L6" s="8" t="s">
        <v>10</v>
      </c>
    </row>
    <row r="7" spans="1:15" ht="15.75" thickBot="1" x14ac:dyDescent="0.3">
      <c r="A7" s="9"/>
      <c r="B7" s="9"/>
      <c r="C7" s="10" t="s">
        <v>11</v>
      </c>
      <c r="D7" s="11">
        <v>316059.05217391101</v>
      </c>
      <c r="E7" s="12">
        <v>22202</v>
      </c>
      <c r="F7" s="11">
        <f>97456.7265075966-(0.076516724008546*97456.7265075966)</f>
        <v>89999.657062638478</v>
      </c>
      <c r="G7" s="13">
        <f t="shared" ref="G7:G12" si="0">F7/E7</f>
        <v>4.0536734106223982</v>
      </c>
      <c r="H7" s="14">
        <f>$G$12*E7-F7</f>
        <v>42232.06510370168</v>
      </c>
      <c r="I7" s="15">
        <f>E18</f>
        <v>2.6501956984580093</v>
      </c>
      <c r="J7" s="16">
        <f>I7*$D$14</f>
        <v>90000.645919634</v>
      </c>
      <c r="K7" s="13">
        <f>LINEST('Upper Condamine'!$F$7:$F$11,'Upper Condamine'!$E$7:$E$11)*E7</f>
        <v>-0.94901183984500548</v>
      </c>
      <c r="L7" s="17">
        <f>J7+K7-F7</f>
        <v>3.9845155682996847E-2</v>
      </c>
    </row>
    <row r="8" spans="1:15" ht="16.5" thickTop="1" thickBot="1" x14ac:dyDescent="0.3">
      <c r="A8" s="9"/>
      <c r="B8" s="9"/>
      <c r="C8" s="10" t="s">
        <v>12</v>
      </c>
      <c r="D8" s="11">
        <v>316059.05217391101</v>
      </c>
      <c r="E8" s="12">
        <v>20368</v>
      </c>
      <c r="F8" s="11">
        <f>97456.7265075966-(0.076516724008546*97456.7265075966)</f>
        <v>89999.657062638478</v>
      </c>
      <c r="G8" s="13">
        <f t="shared" si="0"/>
        <v>4.4186791566495716</v>
      </c>
      <c r="H8" s="14">
        <f>$G$12*E8-F8</f>
        <v>31309.041121489819</v>
      </c>
      <c r="I8" s="18">
        <f>I7</f>
        <v>2.6501956984580093</v>
      </c>
      <c r="J8" s="16">
        <f>I8*$D$14</f>
        <v>90000.645919634</v>
      </c>
      <c r="K8" s="16">
        <f>LINEST('Upper Condamine'!$F$7:$F$11,'Upper Condamine'!$E$7:$E$11)*E8</f>
        <v>-0.87061855481321826</v>
      </c>
      <c r="L8" s="17">
        <f>J8+K8-F8</f>
        <v>0.11823844071477652</v>
      </c>
    </row>
    <row r="9" spans="1:15" ht="16.5" thickTop="1" thickBot="1" x14ac:dyDescent="0.3">
      <c r="A9" s="9"/>
      <c r="B9" s="9"/>
      <c r="C9" s="10" t="s">
        <v>13</v>
      </c>
      <c r="D9" s="11">
        <v>316059.05217391101</v>
      </c>
      <c r="E9" s="12">
        <v>8532</v>
      </c>
      <c r="F9" s="11">
        <f>97458.5832675966-(0.076516724008546*97458.5832675966)</f>
        <v>90001.371749446</v>
      </c>
      <c r="G9" s="13">
        <f t="shared" si="0"/>
        <v>10.548683983760666</v>
      </c>
      <c r="H9" s="14">
        <f>$G$12*E9-F9</f>
        <v>-39186.082427618494</v>
      </c>
      <c r="I9" s="18">
        <f>I8</f>
        <v>2.6501956984580093</v>
      </c>
      <c r="J9" s="16">
        <f>I9*$D$14</f>
        <v>90000.645919634</v>
      </c>
      <c r="K9" s="16">
        <f>LINEST('Upper Condamine'!$F$7:$F$11,'Upper Condamine'!$E$7:$E$11)*E9</f>
        <v>-0.3646954786756863</v>
      </c>
      <c r="L9" s="17">
        <f>J9+K9-F9</f>
        <v>-1.0905252906813985</v>
      </c>
    </row>
    <row r="10" spans="1:15" ht="16.5" thickTop="1" thickBot="1" x14ac:dyDescent="0.3">
      <c r="A10" s="9"/>
      <c r="B10" s="9"/>
      <c r="C10" s="10" t="s">
        <v>14</v>
      </c>
      <c r="D10" s="11">
        <v>316059.05217391101</v>
      </c>
      <c r="E10" s="12">
        <v>20167</v>
      </c>
      <c r="F10" s="11">
        <f>97456.7265075966-(0.076516724008546*97456.7265075966)</f>
        <v>89999.657062638478</v>
      </c>
      <c r="G10" s="13">
        <f t="shared" si="0"/>
        <v>4.4627191482440862</v>
      </c>
      <c r="H10" s="14">
        <f>$G$12*E10-F10</f>
        <v>30111.915810462233</v>
      </c>
      <c r="I10" s="18">
        <f>I9</f>
        <v>2.6501956984580093</v>
      </c>
      <c r="J10" s="16">
        <f>I10*$D$14</f>
        <v>90000.645919634</v>
      </c>
      <c r="K10" s="16">
        <f>LINEST('Upper Condamine'!$F$7:$F$11,'Upper Condamine'!$E$7:$E$11)*E10</f>
        <v>-0.86202692433808781</v>
      </c>
      <c r="L10" s="17">
        <f>J10+K10-F10</f>
        <v>0.12683007118175738</v>
      </c>
    </row>
    <row r="11" spans="1:15" ht="16.5" thickTop="1" thickBot="1" x14ac:dyDescent="0.3">
      <c r="A11" s="9"/>
      <c r="B11" s="9"/>
      <c r="C11" s="10" t="s">
        <v>15</v>
      </c>
      <c r="D11" s="11">
        <v>316059.05217391101</v>
      </c>
      <c r="E11" s="12">
        <v>4287</v>
      </c>
      <c r="F11" s="11">
        <f>97456.7265075966-(0.076516724008546*97456.7265075966)</f>
        <v>89999.657062638478</v>
      </c>
      <c r="G11" s="13">
        <f t="shared" si="0"/>
        <v>20.993621894713897</v>
      </c>
      <c r="H11" s="14">
        <f>$G$12*E11-F11</f>
        <v>-64466.939608035274</v>
      </c>
      <c r="I11" s="18">
        <f>I10</f>
        <v>2.6501956984580093</v>
      </c>
      <c r="J11" s="16">
        <f>I11*$D$14</f>
        <v>90000.645919634</v>
      </c>
      <c r="K11" s="16">
        <f>LINEST('Upper Condamine'!$F$7:$F$11,'Upper Condamine'!$E$7:$E$11)*E11</f>
        <v>-0.18324537237255825</v>
      </c>
      <c r="L11" s="17">
        <f>J11+K11-F11</f>
        <v>0.80561162314552348</v>
      </c>
    </row>
    <row r="12" spans="1:15" ht="15.75" thickTop="1" x14ac:dyDescent="0.25">
      <c r="C12" s="20" t="s">
        <v>16</v>
      </c>
      <c r="D12" s="21">
        <f>AVERAGE(D7:D11)</f>
        <v>316059.05217391101</v>
      </c>
      <c r="E12" s="21">
        <f>AVERAGE(E7:E11)</f>
        <v>15111.2</v>
      </c>
      <c r="F12" s="21">
        <f>AVERAGE(F7:F11)</f>
        <v>89999.999999999985</v>
      </c>
      <c r="G12" s="22">
        <f t="shared" si="0"/>
        <v>5.9558473185451835</v>
      </c>
      <c r="H12" s="23"/>
      <c r="I12" s="24"/>
      <c r="J12" s="25"/>
      <c r="K12" s="25"/>
      <c r="L12" s="26"/>
    </row>
    <row r="13" spans="1:15" ht="15.75" thickBot="1" x14ac:dyDescent="0.3">
      <c r="C13" s="27"/>
      <c r="D13" s="28"/>
      <c r="E13" s="28"/>
      <c r="F13" s="28"/>
      <c r="G13" s="29"/>
      <c r="H13" s="30"/>
      <c r="I13" s="19"/>
      <c r="J13" s="19"/>
      <c r="K13" s="19"/>
      <c r="L13" s="19"/>
    </row>
    <row r="14" spans="1:15" ht="15.75" thickBot="1" x14ac:dyDescent="0.3">
      <c r="C14" s="31" t="s">
        <v>17</v>
      </c>
      <c r="D14" s="32">
        <v>33960</v>
      </c>
      <c r="E14" s="33" t="s">
        <v>18</v>
      </c>
      <c r="F14" s="32">
        <f>E12</f>
        <v>15111.2</v>
      </c>
      <c r="G14" s="75"/>
      <c r="H14" s="59"/>
      <c r="I14" s="30"/>
      <c r="J14" s="19"/>
      <c r="K14" s="19"/>
      <c r="L14" s="19"/>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INTERCEPT(F7:F11,E7:E11)/D14</f>
        <v>2.6501956984580093</v>
      </c>
      <c r="F18" s="37">
        <v>2.6502278105101502</v>
      </c>
      <c r="G18" s="38"/>
      <c r="I18" s="39" t="s">
        <v>11</v>
      </c>
      <c r="J18" s="15">
        <f>F18</f>
        <v>2.6502278105101502</v>
      </c>
      <c r="K18" s="16">
        <f>J18*$D$14</f>
        <v>90001.736444924696</v>
      </c>
      <c r="L18" s="16">
        <f>LINEST('Upper Condamine'!$F$7:$F$11,'Upper Condamine'!$E$7:$E$11)*E7</f>
        <v>-0.94901183984500548</v>
      </c>
      <c r="M18" s="17">
        <f>K18+L18-F7</f>
        <v>1.1303704463789472</v>
      </c>
    </row>
    <row r="19" spans="3:13" ht="30.75" thickBot="1" x14ac:dyDescent="0.3">
      <c r="C19" s="36" t="s">
        <v>27</v>
      </c>
      <c r="D19" s="37">
        <f>G12</f>
        <v>5.9558473185451835</v>
      </c>
      <c r="E19" s="37">
        <f>LINEST(F7:F11,E7:E11)</f>
        <v>-4.2744430224529568E-5</v>
      </c>
      <c r="F19" s="37">
        <f>E19</f>
        <v>-4.2744430224529568E-5</v>
      </c>
      <c r="G19" s="40"/>
      <c r="H19" s="40"/>
      <c r="I19" s="39" t="s">
        <v>12</v>
      </c>
      <c r="J19" s="15">
        <f>J18</f>
        <v>2.6502278105101502</v>
      </c>
      <c r="K19" s="16">
        <f>J19*$D$14</f>
        <v>90001.736444924696</v>
      </c>
      <c r="L19" s="16">
        <f>LINEST('Upper Condamine'!$F$7:$F$11,'Upper Condamine'!$E$7:$E$11)*E8</f>
        <v>-0.87061855481321826</v>
      </c>
      <c r="M19" s="17">
        <f>K19+L19-F8</f>
        <v>1.2087637314107269</v>
      </c>
    </row>
    <row r="20" spans="3:13" ht="45.75" thickBot="1" x14ac:dyDescent="0.3">
      <c r="C20" s="41" t="s">
        <v>36</v>
      </c>
      <c r="D20" s="42">
        <f>MIN(H7:H11)</f>
        <v>-64466.939608035274</v>
      </c>
      <c r="E20" s="42">
        <f>MIN(L7:L11)</f>
        <v>-1.0905252906813985</v>
      </c>
      <c r="F20" s="42">
        <f>MIN(M18:M22)</f>
        <v>0</v>
      </c>
      <c r="G20" s="40"/>
      <c r="H20" s="40"/>
      <c r="I20" s="39" t="s">
        <v>13</v>
      </c>
      <c r="J20" s="15">
        <f>J19</f>
        <v>2.6502278105101502</v>
      </c>
      <c r="K20" s="16">
        <f>J20*$D$14</f>
        <v>90001.736444924696</v>
      </c>
      <c r="L20" s="16">
        <f>LINEST('Upper Condamine'!$F$7:$F$11,'Upper Condamine'!$E$7:$E$11)*E9</f>
        <v>-0.3646954786756863</v>
      </c>
      <c r="M20" s="17">
        <f>K20+L20-F9</f>
        <v>0</v>
      </c>
    </row>
    <row r="21" spans="3:13" ht="45.75" thickBot="1" x14ac:dyDescent="0.3">
      <c r="C21" s="36" t="s">
        <v>38</v>
      </c>
      <c r="D21" s="42">
        <f>MAX(H7:H11)</f>
        <v>42232.06510370168</v>
      </c>
      <c r="E21" s="43">
        <f>MAX(L7:L11)</f>
        <v>0.80561162314552348</v>
      </c>
      <c r="F21" s="43">
        <f>MAX(M18:M22)</f>
        <v>1.8961369138414739</v>
      </c>
      <c r="I21" s="39" t="s">
        <v>14</v>
      </c>
      <c r="J21" s="15">
        <f>J20</f>
        <v>2.6502278105101502</v>
      </c>
      <c r="K21" s="16">
        <f>J21*$D$14</f>
        <v>90001.736444924696</v>
      </c>
      <c r="L21" s="16">
        <f>LINEST('Upper Condamine'!$F$7:$F$11,'Upper Condamine'!$E$7:$E$11)*E10</f>
        <v>-0.86202692433808781</v>
      </c>
      <c r="M21" s="17">
        <f>K21+L21-F10</f>
        <v>1.2173553618777078</v>
      </c>
    </row>
    <row r="22" spans="3:13" ht="45.75" thickBot="1" x14ac:dyDescent="0.3">
      <c r="C22" s="36" t="s">
        <v>37</v>
      </c>
      <c r="D22" s="43">
        <f>AVERAGE(H7:H11)</f>
        <v>0</v>
      </c>
      <c r="E22" s="43">
        <f>AVERAGE(L7:L11)</f>
        <v>8.7311491370201108E-12</v>
      </c>
      <c r="F22" s="43">
        <f>AVERAGE(M18:M22)</f>
        <v>1.0905252907017711</v>
      </c>
      <c r="I22" s="44" t="s">
        <v>15</v>
      </c>
      <c r="J22" s="45">
        <f>J21</f>
        <v>2.6502278105101502</v>
      </c>
      <c r="K22" s="46">
        <f>J22*$D$14</f>
        <v>90001.736444924696</v>
      </c>
      <c r="L22" s="46">
        <f>LINEST('Upper Condamine'!$F$7:$F$11,'Upper Condamine'!$E$7:$E$11)*E11</f>
        <v>-0.18324537237255825</v>
      </c>
      <c r="M22" s="47">
        <f>K22+L22-F11</f>
        <v>1.8961369138414739</v>
      </c>
    </row>
    <row r="25" spans="3:13" x14ac:dyDescent="0.25">
      <c r="C25" t="s">
        <v>28</v>
      </c>
    </row>
  </sheetData>
  <mergeCells count="3">
    <mergeCell ref="I5:L5"/>
    <mergeCell ref="J16:M16"/>
    <mergeCell ref="C4:O4"/>
  </mergeCells>
  <conditionalFormatting sqref="D20:F22">
    <cfRule type="cellIs" dxfId="1" priority="2" operator="lessThan">
      <formula>0</formula>
    </cfRule>
  </conditionalFormatting>
  <conditionalFormatting sqref="H7:H11 L7:L11 M18:M22">
    <cfRule type="cellIs" dxfId="0" priority="1" operator="lessThan">
      <formula>0</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25"/>
  <sheetViews>
    <sheetView zoomScaleNormal="100" workbookViewId="0">
      <selection activeCell="C4" sqref="C4:O4"/>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0.5703125" bestFit="1" customWidth="1"/>
  </cols>
  <sheetData>
    <row r="2" spans="1:16" x14ac:dyDescent="0.25">
      <c r="B2" s="1"/>
    </row>
    <row r="4" spans="1:16" ht="100.5" customHeight="1" x14ac:dyDescent="0.25">
      <c r="C4" s="81" t="s">
        <v>56</v>
      </c>
      <c r="D4" s="81"/>
      <c r="E4" s="81"/>
      <c r="F4" s="81"/>
      <c r="G4" s="81"/>
      <c r="H4" s="81"/>
      <c r="I4" s="81"/>
      <c r="J4" s="81"/>
      <c r="K4" s="81"/>
      <c r="L4" s="81"/>
      <c r="M4" s="81"/>
      <c r="N4" s="81"/>
      <c r="O4" s="81"/>
    </row>
    <row r="5" spans="1:16" ht="40.5" customHeight="1" x14ac:dyDescent="0.25">
      <c r="C5" s="2" t="s">
        <v>39</v>
      </c>
      <c r="D5" s="2"/>
      <c r="E5" s="2"/>
      <c r="F5" s="2"/>
      <c r="G5" s="2"/>
      <c r="H5" s="3"/>
      <c r="I5" s="4" t="s">
        <v>0</v>
      </c>
      <c r="J5" s="79" t="s">
        <v>1</v>
      </c>
      <c r="K5" s="80"/>
      <c r="L5" s="80"/>
      <c r="M5" s="80"/>
      <c r="N5" s="80"/>
    </row>
    <row r="6" spans="1:16" ht="59.25" customHeight="1" x14ac:dyDescent="0.25">
      <c r="C6" s="5" t="s">
        <v>2</v>
      </c>
      <c r="D6" s="5" t="s">
        <v>3</v>
      </c>
      <c r="E6" s="5" t="s">
        <v>31</v>
      </c>
      <c r="F6" s="5" t="s">
        <v>33</v>
      </c>
      <c r="G6" s="5" t="s">
        <v>4</v>
      </c>
      <c r="H6" s="6" t="s">
        <v>5</v>
      </c>
      <c r="I6" s="7" t="s">
        <v>6</v>
      </c>
      <c r="J6" s="8" t="s">
        <v>7</v>
      </c>
      <c r="K6" s="8" t="s">
        <v>8</v>
      </c>
      <c r="L6" s="8" t="s">
        <v>34</v>
      </c>
      <c r="M6" s="8" t="s">
        <v>9</v>
      </c>
      <c r="N6" s="8" t="s">
        <v>10</v>
      </c>
    </row>
    <row r="7" spans="1:16" ht="15.75" thickBot="1" x14ac:dyDescent="0.3">
      <c r="A7" s="9"/>
      <c r="B7" s="9"/>
      <c r="C7" s="10" t="s">
        <v>11</v>
      </c>
      <c r="D7" s="11">
        <v>85307.6</v>
      </c>
      <c r="E7" s="12">
        <v>41058</v>
      </c>
      <c r="F7" s="12">
        <f>1305.737432+(1.34067607485401*1305.737432)</f>
        <v>3056.3083671237146</v>
      </c>
      <c r="G7" s="11">
        <f>36568.87639+(1.34067607485401*36568.876392)</f>
        <v>85595.894053048032</v>
      </c>
      <c r="H7" s="13">
        <f t="shared" ref="H7:H12" si="0">G7/E7</f>
        <v>2.084755566589898</v>
      </c>
      <c r="I7" s="14">
        <f>$H$12*E7-G7</f>
        <v>-33925.322292745012</v>
      </c>
      <c r="J7" s="15">
        <f>E18</f>
        <v>4.9717176646301278E-2</v>
      </c>
      <c r="K7" s="16">
        <f>J7*$D$14</f>
        <v>3069.389334612702</v>
      </c>
      <c r="L7" s="16">
        <f>G7-K7</f>
        <v>82526.504718435332</v>
      </c>
      <c r="M7" s="13">
        <f>(IF($E$18=INTERCEPT($G$7:$G$11,$E$7:$E$11)/$D$14,LINEST($L$7:$L$11,$E$7:$E$11),(SUM($L$7:$L$11)/(SUM($E$7:$E$11)))))*E7</f>
        <v>48786.988089838153</v>
      </c>
      <c r="N7" s="17">
        <f>K7+M7-G7</f>
        <v>-33739.516628597179</v>
      </c>
      <c r="P7" s="67"/>
    </row>
    <row r="8" spans="1:16" ht="16.5" thickTop="1" thickBot="1" x14ac:dyDescent="0.3">
      <c r="A8" s="9"/>
      <c r="B8" s="9"/>
      <c r="C8" s="10" t="s">
        <v>12</v>
      </c>
      <c r="D8" s="11">
        <v>49544</v>
      </c>
      <c r="E8" s="12">
        <v>43253</v>
      </c>
      <c r="F8" s="12">
        <f>1311.8246+(1.34067607485401*1311.8246)</f>
        <v>3070.5564556249319</v>
      </c>
      <c r="G8" s="11">
        <f>21784.92678+(1.34067607485401*21784.92678)</f>
        <v>50991.456906392414</v>
      </c>
      <c r="H8" s="13">
        <f t="shared" si="0"/>
        <v>1.1789114490646293</v>
      </c>
      <c r="I8" s="14">
        <f>$H$12*E8-G8</f>
        <v>3441.4731035541627</v>
      </c>
      <c r="J8" s="18">
        <f>J7</f>
        <v>4.9717176646301278E-2</v>
      </c>
      <c r="K8" s="16">
        <f>J8*$D$14</f>
        <v>3069.389334612702</v>
      </c>
      <c r="L8" s="16">
        <f>G8-K8</f>
        <v>47922.067571779713</v>
      </c>
      <c r="M8" s="13">
        <f>(IF($E$18=INTERCEPT($G$7:$G$11,$E$7:$E$11)/$D$14,LINEST($L$7:$L$11,$E$7:$E$11),(SUM($L$7:$L$11)/(SUM($E$7:$E$11)))))*E8</f>
        <v>51395.187194938131</v>
      </c>
      <c r="N8" s="17">
        <f>K8+M8-G8</f>
        <v>3473.1196231584181</v>
      </c>
      <c r="P8" s="67"/>
    </row>
    <row r="9" spans="1:16" ht="16.5" thickTop="1" thickBot="1" x14ac:dyDescent="0.3">
      <c r="A9" s="9"/>
      <c r="B9" s="9"/>
      <c r="C9" s="10" t="s">
        <v>13</v>
      </c>
      <c r="D9" s="11">
        <v>56853</v>
      </c>
      <c r="E9" s="12">
        <v>39818</v>
      </c>
      <c r="F9" s="12">
        <f>1317.95496+(1.34067607485401*1317.95496)</f>
        <v>3084.9056426071738</v>
      </c>
      <c r="G9" s="11">
        <f>24813.69409+(1.34067607485401*24813.69409)</f>
        <v>58080.820085209343</v>
      </c>
      <c r="H9" s="13">
        <f t="shared" si="0"/>
        <v>1.4586573932696103</v>
      </c>
      <c r="I9" s="14">
        <f>$H$12*E9-G9</f>
        <v>-7970.7605023814976</v>
      </c>
      <c r="J9" s="18">
        <f>J8</f>
        <v>4.9717176646301278E-2</v>
      </c>
      <c r="K9" s="16">
        <f>J9*$D$14</f>
        <v>3069.389334612702</v>
      </c>
      <c r="L9" s="16">
        <f>G9-K9</f>
        <v>55011.430750596643</v>
      </c>
      <c r="M9" s="13">
        <f>(IF($E$18=INTERCEPT($G$7:$G$11,$E$7:$E$11)/$D$14,LINEST($L$7:$L$11,$E$7:$E$11),(SUM($L$7:$L$11)/(SUM($E$7:$E$11)))))*E9</f>
        <v>47313.563538437716</v>
      </c>
      <c r="N9" s="17">
        <f>K9+M9-G9</f>
        <v>-7697.8672121589261</v>
      </c>
      <c r="P9" s="67"/>
    </row>
    <row r="10" spans="1:16" ht="16.5" thickTop="1" thickBot="1" x14ac:dyDescent="0.3">
      <c r="A10" s="9"/>
      <c r="B10" s="9"/>
      <c r="C10" s="10" t="s">
        <v>14</v>
      </c>
      <c r="D10" s="11">
        <v>45764</v>
      </c>
      <c r="E10" s="12">
        <v>39185</v>
      </c>
      <c r="F10" s="12">
        <f>1310.13372+(1.34067607485401*1310.13372)</f>
        <v>3066.5986532634824</v>
      </c>
      <c r="G10" s="11">
        <f>20220.0169+(1.34067607485401*20220.0169)</f>
        <v>47328.509790973745</v>
      </c>
      <c r="H10" s="13">
        <f t="shared" si="0"/>
        <v>1.2078221204791053</v>
      </c>
      <c r="I10" s="14">
        <f>$H$12*E10-G10</f>
        <v>1984.9334948042742</v>
      </c>
      <c r="J10" s="18">
        <f>J9</f>
        <v>4.9717176646301278E-2</v>
      </c>
      <c r="K10" s="16">
        <f>J10*$D$14</f>
        <v>3069.389334612702</v>
      </c>
      <c r="L10" s="16">
        <f>G10-K10</f>
        <v>44259.120456361044</v>
      </c>
      <c r="M10" s="13">
        <f>(IF($E$18=INTERCEPT($G$7:$G$11,$E$7:$E$11)/$D$14,LINEST($L$7:$L$11,$E$7:$E$11),(SUM($L$7:$L$11)/(SUM($E$7:$E$11)))))*E10</f>
        <v>46561.404069859906</v>
      </c>
      <c r="N10" s="17">
        <f>K10+M10-G10</f>
        <v>2302.2836134988611</v>
      </c>
      <c r="P10" s="67"/>
    </row>
    <row r="11" spans="1:16" ht="16.5" thickTop="1" thickBot="1" x14ac:dyDescent="0.3">
      <c r="A11" s="9"/>
      <c r="B11" s="9"/>
      <c r="C11" s="10" t="s">
        <v>15</v>
      </c>
      <c r="D11" s="11">
        <v>30963</v>
      </c>
      <c r="E11" s="12">
        <v>55204</v>
      </c>
      <c r="F11" s="12">
        <f>1310.97916+(1.34067607485401*1310.97916)</f>
        <v>3068.5775544442076</v>
      </c>
      <c r="G11" s="11">
        <f>14099.90879+(1.34067607485401*14099.90879)</f>
        <v>33003.319162376756</v>
      </c>
      <c r="H11" s="13">
        <f t="shared" si="0"/>
        <v>0.59784289476082808</v>
      </c>
      <c r="I11" s="14">
        <f>$H$12*E11-G11</f>
        <v>36469.676196768058</v>
      </c>
      <c r="J11" s="18">
        <f>J10</f>
        <v>4.9717176646301278E-2</v>
      </c>
      <c r="K11" s="16">
        <f>J11*$D$14</f>
        <v>3069.389334612702</v>
      </c>
      <c r="L11" s="16">
        <f>G11-K11</f>
        <v>29933.929827764056</v>
      </c>
      <c r="M11" s="13">
        <f>(IF($E$18=INTERCEPT($G$7:$G$11,$E$7:$E$11)/$D$14,LINEST($L$7:$L$11,$E$7:$E$11),(SUM($L$7:$L$11)/(SUM($E$7:$E$11)))))*E11</f>
        <v>65595.910431862867</v>
      </c>
      <c r="N11" s="17">
        <f>K11+M11-G11</f>
        <v>35661.980604098811</v>
      </c>
      <c r="P11" s="67"/>
    </row>
    <row r="12" spans="1:16" ht="15.75" thickTop="1" x14ac:dyDescent="0.25">
      <c r="C12" s="20" t="s">
        <v>16</v>
      </c>
      <c r="D12" s="21">
        <f>AVERAGE(D7:D11)</f>
        <v>53686.319999999992</v>
      </c>
      <c r="E12" s="21">
        <f>AVERAGE(E7:E11)</f>
        <v>43703.6</v>
      </c>
      <c r="F12" s="21">
        <f>AVERAGE(F7:F11)</f>
        <v>3069.389334612702</v>
      </c>
      <c r="G12" s="21">
        <f>AVERAGE(G7:G11)</f>
        <v>54999.999999600055</v>
      </c>
      <c r="H12" s="22">
        <f t="shared" si="0"/>
        <v>1.25847756247998</v>
      </c>
      <c r="I12" s="23"/>
      <c r="J12" s="24"/>
      <c r="K12" s="25"/>
      <c r="L12" s="25"/>
      <c r="M12" s="25"/>
      <c r="N12" s="26"/>
    </row>
    <row r="13" spans="1:16" ht="15.75" thickBot="1" x14ac:dyDescent="0.3">
      <c r="C13" s="27"/>
      <c r="D13" s="28"/>
      <c r="E13" s="28"/>
      <c r="F13" s="28"/>
      <c r="G13" s="74"/>
      <c r="H13" s="60"/>
      <c r="I13" s="19"/>
      <c r="J13" s="19"/>
      <c r="K13" s="19"/>
      <c r="L13" s="19"/>
    </row>
    <row r="14" spans="1:16" ht="15.75" thickBot="1" x14ac:dyDescent="0.3">
      <c r="C14" s="31" t="s">
        <v>17</v>
      </c>
      <c r="D14" s="32">
        <v>61737</v>
      </c>
      <c r="E14" s="33" t="s">
        <v>18</v>
      </c>
      <c r="F14" s="32">
        <f>E12</f>
        <v>43703.6</v>
      </c>
      <c r="G14" s="75"/>
      <c r="H14" s="59"/>
      <c r="I14" s="30"/>
      <c r="J14" s="19"/>
      <c r="K14" s="19"/>
      <c r="L14" s="19"/>
      <c r="M14" s="19"/>
    </row>
    <row r="15" spans="1:16" x14ac:dyDescent="0.25">
      <c r="H15" s="38"/>
    </row>
    <row r="16" spans="1:16"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4.9717176646301278E-2</v>
      </c>
      <c r="F18" s="37">
        <v>0.59622116337382591</v>
      </c>
      <c r="G18" s="38"/>
      <c r="I18" s="39" t="s">
        <v>11</v>
      </c>
      <c r="J18" s="15">
        <f>F18</f>
        <v>0.59622116337382591</v>
      </c>
      <c r="K18" s="16">
        <f>J18*$D$14</f>
        <v>36808.905963209887</v>
      </c>
      <c r="L18" s="13">
        <f>(IF($E$18=INTERCEPT($G$7:$G$11,$E$7:$E$11)/$D$14,LINEST($L$7:$L$11,$E$7:$E$11),(SUM($L$7:$L$11)/(SUM($E$7:$E$11)))))*E7</f>
        <v>48786.988089838153</v>
      </c>
      <c r="M18" s="17">
        <f>K18+L18-G7</f>
        <v>0</v>
      </c>
    </row>
    <row r="19" spans="3:13" ht="30.75" thickBot="1" x14ac:dyDescent="0.3">
      <c r="C19" s="36" t="s">
        <v>27</v>
      </c>
      <c r="D19" s="37">
        <f>H12</f>
        <v>1.25847756247998</v>
      </c>
      <c r="E19" s="37">
        <f>IF(E18=INTERCEPT(G7:G11,E7:E11)/D14,LINEST(L7:L11,E7:E11),(SUM(L7:L11)/(SUM(E7:E11))))</f>
        <v>1.1882456059680977</v>
      </c>
      <c r="F19" s="37">
        <f>E19</f>
        <v>1.1882456059680977</v>
      </c>
      <c r="G19" s="40"/>
      <c r="H19" s="40"/>
      <c r="I19" s="39" t="s">
        <v>12</v>
      </c>
      <c r="J19" s="15">
        <f>J18</f>
        <v>0.59622116337382591</v>
      </c>
      <c r="K19" s="16">
        <f>J19*$D$14</f>
        <v>36808.905963209887</v>
      </c>
      <c r="L19" s="13">
        <f>(IF($E$18=INTERCEPT($G$7:$G$11,$E$7:$E$11)/$D$14,LINEST($L$7:$L$11,$E$7:$E$11),(SUM($L$7:$L$11)/(SUM($E$7:$E$11)))))*E8</f>
        <v>51395.187194938131</v>
      </c>
      <c r="M19" s="17">
        <f>K19+L19-G8</f>
        <v>37212.636251755612</v>
      </c>
    </row>
    <row r="20" spans="3:13" ht="45.75" thickBot="1" x14ac:dyDescent="0.3">
      <c r="C20" s="41" t="s">
        <v>36</v>
      </c>
      <c r="D20" s="42">
        <f>MIN(I7:I11)</f>
        <v>-33925.322292745012</v>
      </c>
      <c r="E20" s="42">
        <f>MIN(N7:N11)</f>
        <v>-33739.516628597179</v>
      </c>
      <c r="F20" s="42">
        <f>MIN(M18:M22)</f>
        <v>0</v>
      </c>
      <c r="G20" s="40"/>
      <c r="H20" s="40"/>
      <c r="I20" s="39" t="s">
        <v>13</v>
      </c>
      <c r="J20" s="15">
        <f>J19</f>
        <v>0.59622116337382591</v>
      </c>
      <c r="K20" s="16">
        <f>J20*$D$14</f>
        <v>36808.905963209887</v>
      </c>
      <c r="L20" s="13">
        <f>(IF($E$18=INTERCEPT($G$7:$G$11,$E$7:$E$11)/$D$14,LINEST($L$7:$L$11,$E$7:$E$11),(SUM($L$7:$L$11)/(SUM($E$7:$E$11)))))*E9</f>
        <v>47313.563538437716</v>
      </c>
      <c r="M20" s="17">
        <f>K20+L20-G9</f>
        <v>26041.64941643826</v>
      </c>
    </row>
    <row r="21" spans="3:13" ht="45.75" thickBot="1" x14ac:dyDescent="0.3">
      <c r="C21" s="36" t="s">
        <v>38</v>
      </c>
      <c r="D21" s="42">
        <f>MAX(I7:I11)</f>
        <v>36469.676196768058</v>
      </c>
      <c r="E21" s="43">
        <f>MAX(N7:N11)</f>
        <v>35661.980604098811</v>
      </c>
      <c r="F21" s="43">
        <f>MAX(M18:M22)</f>
        <v>69401.497232696012</v>
      </c>
      <c r="I21" s="39" t="s">
        <v>14</v>
      </c>
      <c r="J21" s="15">
        <f>J20</f>
        <v>0.59622116337382591</v>
      </c>
      <c r="K21" s="16">
        <f>J21*$D$14</f>
        <v>36808.905963209887</v>
      </c>
      <c r="L21" s="13">
        <f>(IF($E$18=INTERCEPT($G$7:$G$11,$E$7:$E$11)/$D$14,LINEST($L$7:$L$11,$E$7:$E$11),(SUM($L$7:$L$11)/(SUM($E$7:$E$11)))))*E10</f>
        <v>46561.404069859906</v>
      </c>
      <c r="M21" s="17">
        <f>K21+L21-G10</f>
        <v>36041.800242096047</v>
      </c>
    </row>
    <row r="22" spans="3:13" ht="45.75" thickBot="1" x14ac:dyDescent="0.3">
      <c r="C22" s="36" t="s">
        <v>37</v>
      </c>
      <c r="D22" s="43">
        <f>AVERAGE(I7:I11)</f>
        <v>0</v>
      </c>
      <c r="E22" s="43">
        <f>AVERAGE(N7:N11)</f>
        <v>0</v>
      </c>
      <c r="F22" s="43">
        <f>AVERAGE(M18:M22)</f>
        <v>33739.516628597186</v>
      </c>
      <c r="I22" s="44" t="s">
        <v>15</v>
      </c>
      <c r="J22" s="45">
        <f>J21</f>
        <v>0.59622116337382591</v>
      </c>
      <c r="K22" s="46">
        <f>J22*$D$14</f>
        <v>36808.905963209887</v>
      </c>
      <c r="L22" s="68">
        <f>(IF($E$18=INTERCEPT($G$7:$G$11,$E$7:$E$11)/$D$14,LINEST($L$7:$L$11,$E$7:$E$11),(SUM($L$7:$L$11)/(SUM($E$7:$E$11)))))*E11</f>
        <v>65595.910431862867</v>
      </c>
      <c r="M22" s="47">
        <f>K22+L22-G11</f>
        <v>69401.497232696012</v>
      </c>
    </row>
    <row r="25" spans="3:13" x14ac:dyDescent="0.25">
      <c r="C25" t="s">
        <v>28</v>
      </c>
    </row>
  </sheetData>
  <mergeCells count="3">
    <mergeCell ref="J5:N5"/>
    <mergeCell ref="J16:M16"/>
    <mergeCell ref="C4:O4"/>
  </mergeCells>
  <conditionalFormatting sqref="D20:F22">
    <cfRule type="cellIs" dxfId="17" priority="2" operator="lessThan">
      <formula>0</formula>
    </cfRule>
  </conditionalFormatting>
  <conditionalFormatting sqref="I7:I11 N7:N11 M18:M22">
    <cfRule type="cellIs" dxfId="16" priority="1" operator="lessThan">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topLeftCell="B1" zoomScaleNormal="100" workbookViewId="0">
      <selection activeCell="B1" sqref="B1"/>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3.28515625" bestFit="1" customWidth="1"/>
    <col min="18" max="18" width="10.5703125" bestFit="1" customWidth="1"/>
  </cols>
  <sheetData>
    <row r="2" spans="1:15" x14ac:dyDescent="0.25">
      <c r="B2" s="1"/>
    </row>
    <row r="4" spans="1:15" ht="75.75" customHeight="1" x14ac:dyDescent="0.25">
      <c r="C4" s="81" t="s">
        <v>56</v>
      </c>
      <c r="D4" s="81"/>
      <c r="E4" s="81"/>
      <c r="F4" s="81"/>
      <c r="G4" s="81"/>
      <c r="H4" s="81"/>
      <c r="I4" s="81"/>
      <c r="J4" s="81"/>
      <c r="K4" s="81"/>
      <c r="L4" s="81"/>
      <c r="M4" s="81"/>
      <c r="N4" s="81"/>
      <c r="O4" s="81"/>
    </row>
    <row r="5" spans="1:15" ht="40.5" customHeight="1" x14ac:dyDescent="0.25">
      <c r="C5" s="2" t="s">
        <v>40</v>
      </c>
      <c r="D5" s="2"/>
      <c r="E5" s="2"/>
      <c r="F5" s="2"/>
      <c r="G5" s="2"/>
      <c r="H5" s="3"/>
      <c r="I5" s="4" t="s">
        <v>0</v>
      </c>
      <c r="J5" s="79" t="s">
        <v>1</v>
      </c>
      <c r="K5" s="80"/>
      <c r="L5" s="80"/>
      <c r="M5" s="80"/>
      <c r="N5" s="80"/>
    </row>
    <row r="6" spans="1:15" ht="59.25" customHeight="1" x14ac:dyDescent="0.25">
      <c r="C6" s="5" t="s">
        <v>2</v>
      </c>
      <c r="D6" s="5" t="s">
        <v>30</v>
      </c>
      <c r="E6" s="5" t="s">
        <v>31</v>
      </c>
      <c r="F6" s="5" t="s">
        <v>32</v>
      </c>
      <c r="G6" s="5" t="s">
        <v>4</v>
      </c>
      <c r="H6" s="6" t="s">
        <v>5</v>
      </c>
      <c r="I6" s="7" t="s">
        <v>6</v>
      </c>
      <c r="J6" s="8" t="s">
        <v>7</v>
      </c>
      <c r="K6" s="8" t="s">
        <v>8</v>
      </c>
      <c r="L6" s="8" t="s">
        <v>34</v>
      </c>
      <c r="M6" s="8" t="s">
        <v>9</v>
      </c>
      <c r="N6" s="8" t="s">
        <v>10</v>
      </c>
    </row>
    <row r="7" spans="1:15" ht="15.75" thickBot="1" x14ac:dyDescent="0.3">
      <c r="A7" s="9"/>
      <c r="B7" s="9"/>
      <c r="C7" s="49" t="s">
        <v>11</v>
      </c>
      <c r="D7" s="11">
        <v>23895639.049327102</v>
      </c>
      <c r="E7" s="50">
        <v>133309</v>
      </c>
      <c r="F7" s="50">
        <f>589172.587268871-(0.36535381968979*589172.587268871)</f>
        <v>373916.1320536728</v>
      </c>
      <c r="G7" s="11">
        <f>8857048.38021658-(0.36535381968979*8857048.38021658)</f>
        <v>5621091.9233271852</v>
      </c>
      <c r="H7" s="51">
        <f t="shared" ref="H7:H12" si="0">G7/E7</f>
        <v>42.165884698911441</v>
      </c>
      <c r="I7" s="52">
        <f>$H$12*E7-G7</f>
        <v>335389.68805058487</v>
      </c>
      <c r="J7" s="53">
        <f>E18</f>
        <v>5.5484094843455596</v>
      </c>
      <c r="K7" s="54">
        <f>J7*$D$14</f>
        <v>874346.10859059496</v>
      </c>
      <c r="L7" s="54">
        <f>G7-K7</f>
        <v>4746745.8147365898</v>
      </c>
      <c r="M7" s="54">
        <f>(IF($E$18=INTERCEPT($G$7:$G$11,$E$7:$E$11)/$D$14,LINEST($L$7:$L$11,$E$7:$E$11),(SUM($L$7:$L$11)/(SUM($E$7:$E$11)))))*E7</f>
        <v>4806248.2711684881</v>
      </c>
      <c r="N7" s="55">
        <f>K7+M7-G7</f>
        <v>59502.456431897357</v>
      </c>
    </row>
    <row r="8" spans="1:15" ht="16.5" thickTop="1" thickBot="1" x14ac:dyDescent="0.3">
      <c r="A8" s="9"/>
      <c r="B8" s="9"/>
      <c r="C8" s="49" t="s">
        <v>12</v>
      </c>
      <c r="D8" s="11">
        <v>14664600.393690245</v>
      </c>
      <c r="E8" s="50">
        <v>82949</v>
      </c>
      <c r="F8" s="50">
        <f>589725.654283614-(0.36535381968979*589725.654283614)</f>
        <v>374267.13392203505</v>
      </c>
      <c r="G8" s="11">
        <f>5833122.94422575-(0.36535381968979*5833122.94422575)</f>
        <v>3701969.1958327182</v>
      </c>
      <c r="H8" s="51">
        <f t="shared" si="0"/>
        <v>44.62946142608974</v>
      </c>
      <c r="I8" s="52">
        <f>$H$12*E8-G8</f>
        <v>4338.6542162257247</v>
      </c>
      <c r="J8" s="56">
        <f>J7</f>
        <v>5.5484094843455596</v>
      </c>
      <c r="K8" s="54">
        <f>J8*$D$14</f>
        <v>874346.10859059496</v>
      </c>
      <c r="L8" s="54">
        <f>G8-K8</f>
        <v>2827623.0872421232</v>
      </c>
      <c r="M8" s="54">
        <f>(IF($E$18=INTERCEPT($G$7:$G$11,$E$7:$E$11)/$D$14,LINEST($L$7:$L$11,$E$7:$E$11),(SUM($L$7:$L$11)/(SUM($E$7:$E$11)))))*E8</f>
        <v>2990596.9427807196</v>
      </c>
      <c r="N8" s="55">
        <f>K8+M8-G8</f>
        <v>162973.8555385964</v>
      </c>
    </row>
    <row r="9" spans="1:15" ht="16.5" thickTop="1" thickBot="1" x14ac:dyDescent="0.3">
      <c r="A9" s="9"/>
      <c r="B9" s="9"/>
      <c r="C9" s="49" t="s">
        <v>13</v>
      </c>
      <c r="D9" s="11">
        <v>18232555.964755367</v>
      </c>
      <c r="E9" s="50">
        <v>101701</v>
      </c>
      <c r="F9" s="50">
        <f>589861.577627064-(0.36535381968979*589861.577627064)</f>
        <v>374353.39715277054</v>
      </c>
      <c r="G9" s="11">
        <f>7059271.06942391-(0.36535381968979*7059271.06942391)</f>
        <v>4480139.4199842559</v>
      </c>
      <c r="H9" s="51">
        <f t="shared" si="0"/>
        <v>44.052068514412404</v>
      </c>
      <c r="I9" s="52">
        <f>$H$12*E9-G9</f>
        <v>64040.91561747063</v>
      </c>
      <c r="J9" s="56">
        <f>J8</f>
        <v>5.5484094843455596</v>
      </c>
      <c r="K9" s="54">
        <f>J9*$D$14</f>
        <v>874346.10859059496</v>
      </c>
      <c r="L9" s="54">
        <f>G9-K9</f>
        <v>3605793.311393661</v>
      </c>
      <c r="M9" s="54">
        <f>(IF($E$18=INTERCEPT($G$7:$G$11,$E$7:$E$11)/$D$14,LINEST($L$7:$L$11,$E$7:$E$11),(SUM($L$7:$L$11)/(SUM($E$7:$E$11)))))*E9</f>
        <v>3666671.0831684764</v>
      </c>
      <c r="N9" s="55">
        <f>K9+M9-G9</f>
        <v>60877.771774815395</v>
      </c>
    </row>
    <row r="10" spans="1:15" ht="16.5" thickTop="1" thickBot="1" x14ac:dyDescent="0.3">
      <c r="A10" s="9"/>
      <c r="B10" s="9"/>
      <c r="C10" s="49" t="s">
        <v>14</v>
      </c>
      <c r="D10" s="11">
        <v>20827758.225841887</v>
      </c>
      <c r="E10" s="50">
        <v>110266</v>
      </c>
      <c r="F10" s="50">
        <f>589298.807138871-(0.36535381968979*589298.807138871)</f>
        <v>373996.23701204761</v>
      </c>
      <c r="G10" s="11">
        <f>7909853.06636424-(0.36535381968979*7909853.06636424)</f>
        <v>5019958.0353830662</v>
      </c>
      <c r="H10" s="51">
        <f t="shared" si="0"/>
        <v>45.525892254938661</v>
      </c>
      <c r="I10" s="52">
        <f>$H$12*E10-G10</f>
        <v>-93078.369642709382</v>
      </c>
      <c r="J10" s="56">
        <f>J9</f>
        <v>5.5484094843455596</v>
      </c>
      <c r="K10" s="54">
        <f>J10*$D$14</f>
        <v>874346.10859059496</v>
      </c>
      <c r="L10" s="54">
        <f>G10-K10</f>
        <v>4145611.9267924712</v>
      </c>
      <c r="M10" s="54">
        <f>(IF($E$18=INTERCEPT($G$7:$G$11,$E$7:$E$11)/$D$14,LINEST($L$7:$L$11,$E$7:$E$11),(SUM($L$7:$L$11)/(SUM($E$7:$E$11)))))*E10</f>
        <v>3975468.8120731874</v>
      </c>
      <c r="N10" s="55">
        <f>K10+M10-G10</f>
        <v>-170143.11471928377</v>
      </c>
    </row>
    <row r="11" spans="1:15" ht="16.5" thickTop="1" thickBot="1" x14ac:dyDescent="0.3">
      <c r="A11" s="9"/>
      <c r="B11" s="9"/>
      <c r="C11" s="49" t="s">
        <v>15</v>
      </c>
      <c r="D11" s="11">
        <v>15263323.87584189</v>
      </c>
      <c r="E11" s="50">
        <v>78447</v>
      </c>
      <c r="F11" s="50">
        <f>589180.232658871-(0.36535381968979*589180.232658871)</f>
        <v>373920.98417123326</v>
      </c>
      <c r="G11" s="11">
        <f>6012549.26580918-(0.36535381968979*6012549.26580918)</f>
        <v>3815841.4254727536</v>
      </c>
      <c r="H11" s="51">
        <f t="shared" si="0"/>
        <v>48.64228619925241</v>
      </c>
      <c r="I11" s="52">
        <f>$H$12*E11-G11</f>
        <v>-310690.88824156905</v>
      </c>
      <c r="J11" s="56">
        <f>J10</f>
        <v>5.5484094843455596</v>
      </c>
      <c r="K11" s="54">
        <f>J11*$D$14</f>
        <v>874346.10859059496</v>
      </c>
      <c r="L11" s="54">
        <f>G11-K11</f>
        <v>2941495.3168821586</v>
      </c>
      <c r="M11" s="54">
        <f>(IF($E$18=INTERCEPT($G$7:$G$11,$E$7:$E$11)/$D$14,LINEST($L$7:$L$11,$E$7:$E$11),(SUM($L$7:$L$11)/(SUM($E$7:$E$11)))))*E11</f>
        <v>2828284.3478561416</v>
      </c>
      <c r="N11" s="55">
        <f>K11+M11-G11</f>
        <v>-113210.969026017</v>
      </c>
    </row>
    <row r="12" spans="1:15" ht="15.75" thickTop="1" x14ac:dyDescent="0.25">
      <c r="C12" s="20" t="s">
        <v>16</v>
      </c>
      <c r="D12" s="21">
        <f>AVERAGE(D7:D11)</f>
        <v>18576775.501891296</v>
      </c>
      <c r="E12" s="21">
        <f>AVERAGE(E7:E11)</f>
        <v>101334.39999999999</v>
      </c>
      <c r="F12" s="21">
        <f>AVERAGE(F7:F11)</f>
        <v>374090.77686235186</v>
      </c>
      <c r="G12" s="21">
        <f>AVERAGE(G7:G11)</f>
        <v>4527799.9999999963</v>
      </c>
      <c r="H12" s="57">
        <f t="shared" si="0"/>
        <v>44.681766507720937</v>
      </c>
      <c r="I12" s="58"/>
      <c r="J12" s="24"/>
      <c r="K12" s="25"/>
      <c r="L12" s="25"/>
      <c r="M12" s="25"/>
      <c r="N12" s="26"/>
    </row>
    <row r="13" spans="1:15" ht="15.75" thickBot="1" x14ac:dyDescent="0.3">
      <c r="C13" s="27"/>
      <c r="D13" s="28"/>
      <c r="E13" s="28"/>
      <c r="F13" s="28"/>
      <c r="G13" s="74"/>
      <c r="H13" s="60"/>
      <c r="I13" s="19"/>
      <c r="J13" s="19"/>
      <c r="K13" s="19"/>
      <c r="L13" s="19"/>
    </row>
    <row r="14" spans="1:15" ht="15.75" thickBot="1" x14ac:dyDescent="0.3">
      <c r="C14" s="31" t="s">
        <v>17</v>
      </c>
      <c r="D14" s="32">
        <v>157585</v>
      </c>
      <c r="E14" s="61" t="s">
        <v>18</v>
      </c>
      <c r="F14" s="32">
        <f>E12</f>
        <v>101334.39999999999</v>
      </c>
      <c r="G14" s="75"/>
      <c r="H14" s="59"/>
      <c r="I14" s="60"/>
      <c r="J14" s="19"/>
      <c r="K14" s="19"/>
      <c r="L14" s="19"/>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5.5484094843455596</v>
      </c>
      <c r="F18" s="37">
        <v>6.6281005381849569</v>
      </c>
      <c r="G18" s="62"/>
      <c r="I18" s="39" t="s">
        <v>11</v>
      </c>
      <c r="J18" s="53">
        <f>F18</f>
        <v>6.6281005381849569</v>
      </c>
      <c r="K18" s="54">
        <f>J18*$D$14</f>
        <v>1044489.2233098764</v>
      </c>
      <c r="L18" s="54">
        <f>(IF($E$18=INTERCEPT($G$7:$G$11,$E$7:$E$11)/$D$14,LINEST($L$7:$L$11,$E$7:$E$11),(SUM($L$7:$L$11)/(SUM($E$7:$E$11)))))*E7</f>
        <v>4806248.2711684881</v>
      </c>
      <c r="M18" s="55">
        <f>K18+L18-G7</f>
        <v>229645.57115117926</v>
      </c>
    </row>
    <row r="19" spans="3:13" ht="30.75" thickBot="1" x14ac:dyDescent="0.3">
      <c r="C19" s="36" t="s">
        <v>27</v>
      </c>
      <c r="D19" s="37">
        <f>H12</f>
        <v>44.681766507720937</v>
      </c>
      <c r="E19" s="37">
        <f>IF(E18=INTERCEPT(G7:G11,E7:E11)/D14,LINEST(L7:L11,E7:E11),(SUM(L7:L11)/(SUM(E7:E11))))</f>
        <v>36.053441786889771</v>
      </c>
      <c r="F19" s="37">
        <f>E19</f>
        <v>36.053441786889771</v>
      </c>
      <c r="G19" s="63"/>
      <c r="H19" s="63"/>
      <c r="I19" s="39" t="s">
        <v>12</v>
      </c>
      <c r="J19" s="53">
        <f>J18</f>
        <v>6.6281005381849569</v>
      </c>
      <c r="K19" s="54">
        <f>J19*$D$14</f>
        <v>1044489.2233098764</v>
      </c>
      <c r="L19" s="54">
        <f>(IF($E$18=INTERCEPT($G$7:$G$11,$E$7:$E$11)/$D$14,LINEST($L$7:$L$11,$E$7:$E$11),(SUM($L$7:$L$11)/(SUM($E$7:$E$11)))))*E8</f>
        <v>2990596.9427807196</v>
      </c>
      <c r="M19" s="55">
        <f>K19+L19-G8</f>
        <v>333116.97025787784</v>
      </c>
    </row>
    <row r="20" spans="3:13" ht="45.75" thickBot="1" x14ac:dyDescent="0.3">
      <c r="C20" s="41" t="s">
        <v>36</v>
      </c>
      <c r="D20" s="42">
        <f>MIN(I7:I11)</f>
        <v>-310690.88824156905</v>
      </c>
      <c r="E20" s="42">
        <f>MIN(N7:N11)</f>
        <v>-170143.11471928377</v>
      </c>
      <c r="F20" s="42">
        <f>MIN(M18:M22)</f>
        <v>0</v>
      </c>
      <c r="G20" s="63"/>
      <c r="H20" s="63"/>
      <c r="I20" s="39" t="s">
        <v>13</v>
      </c>
      <c r="J20" s="53">
        <f>J19</f>
        <v>6.6281005381849569</v>
      </c>
      <c r="K20" s="54">
        <f>J20*$D$14</f>
        <v>1044489.2233098764</v>
      </c>
      <c r="L20" s="54">
        <f>(IF($E$18=INTERCEPT($G$7:$G$11,$E$7:$E$11)/$D$14,LINEST($L$7:$L$11,$E$7:$E$11),(SUM($L$7:$L$11)/(SUM($E$7:$E$11)))))*E9</f>
        <v>3666671.0831684764</v>
      </c>
      <c r="M20" s="55">
        <f>K20+L20-G9</f>
        <v>231020.8864940973</v>
      </c>
    </row>
    <row r="21" spans="3:13" ht="45.75" thickBot="1" x14ac:dyDescent="0.3">
      <c r="C21" s="36" t="s">
        <v>38</v>
      </c>
      <c r="D21" s="42">
        <f>MAX(I7:I11)</f>
        <v>335389.68805058487</v>
      </c>
      <c r="E21" s="43">
        <f>MAX(N7:N11)</f>
        <v>162973.8555385964</v>
      </c>
      <c r="F21" s="43">
        <f>MAX(M18:M22)</f>
        <v>333116.97025787784</v>
      </c>
      <c r="I21" s="39" t="s">
        <v>14</v>
      </c>
      <c r="J21" s="53">
        <f>J20</f>
        <v>6.6281005381849569</v>
      </c>
      <c r="K21" s="54">
        <f>J21*$D$14</f>
        <v>1044489.2233098764</v>
      </c>
      <c r="L21" s="54">
        <f>(IF($E$18=INTERCEPT($G$7:$G$11,$E$7:$E$11)/$D$14,LINEST($L$7:$L$11,$E$7:$E$11),(SUM($L$7:$L$11)/(SUM($E$7:$E$11)))))*E10</f>
        <v>3975468.8120731874</v>
      </c>
      <c r="M21" s="55">
        <f>K21+L21-G10</f>
        <v>0</v>
      </c>
    </row>
    <row r="22" spans="3:13" ht="45.75" thickBot="1" x14ac:dyDescent="0.3">
      <c r="C22" s="36" t="s">
        <v>37</v>
      </c>
      <c r="D22" s="43">
        <f>AVERAGE(I7:I11)</f>
        <v>5.5879354476928709E-10</v>
      </c>
      <c r="E22" s="43">
        <f>AVERAGE(N7:N11)</f>
        <v>1.6763806343078614E-9</v>
      </c>
      <c r="F22" s="43">
        <f>AVERAGE(M18:M22)</f>
        <v>170143.11471928377</v>
      </c>
      <c r="I22" s="44" t="s">
        <v>15</v>
      </c>
      <c r="J22" s="64">
        <f>J21</f>
        <v>6.6281005381849569</v>
      </c>
      <c r="K22" s="65">
        <f>J22*$D$14</f>
        <v>1044489.2233098764</v>
      </c>
      <c r="L22" s="65">
        <f>(IF($E$18=INTERCEPT($G$7:$G$11,$E$7:$E$11)/$D$14,LINEST($L$7:$L$11,$E$7:$E$11),(SUM($L$7:$L$11)/(SUM($E$7:$E$11)))))*E11</f>
        <v>2828284.3478561416</v>
      </c>
      <c r="M22" s="66">
        <f>K22+L22-G11</f>
        <v>56932.145693264436</v>
      </c>
    </row>
    <row r="25" spans="3:13" x14ac:dyDescent="0.25">
      <c r="C25" t="s">
        <v>28</v>
      </c>
    </row>
  </sheetData>
  <mergeCells count="3">
    <mergeCell ref="J5:N5"/>
    <mergeCell ref="J16:M16"/>
    <mergeCell ref="C4:O4"/>
  </mergeCells>
  <conditionalFormatting sqref="D20:F22">
    <cfRule type="cellIs" dxfId="15" priority="2" operator="lessThan">
      <formula>0</formula>
    </cfRule>
  </conditionalFormatting>
  <conditionalFormatting sqref="I7:I11 N7:N11 M18:M22">
    <cfRule type="cellIs" dxfId="14" priority="1" operator="lessThan">
      <formula>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zoomScaleNormal="100" workbookViewId="0">
      <selection activeCell="D12" sqref="D12"/>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s>
  <sheetData>
    <row r="2" spans="1:15" x14ac:dyDescent="0.25">
      <c r="B2" s="1"/>
    </row>
    <row r="4" spans="1:15" ht="96" customHeight="1" x14ac:dyDescent="0.25">
      <c r="C4" s="81" t="s">
        <v>56</v>
      </c>
      <c r="D4" s="81"/>
      <c r="E4" s="81"/>
      <c r="F4" s="81"/>
      <c r="G4" s="81"/>
      <c r="H4" s="81"/>
      <c r="I4" s="81"/>
      <c r="J4" s="81"/>
      <c r="K4" s="81"/>
      <c r="L4" s="81"/>
      <c r="M4" s="81"/>
      <c r="N4" s="81"/>
      <c r="O4" s="81"/>
    </row>
    <row r="5" spans="1:15" ht="40.5" customHeight="1" x14ac:dyDescent="0.25">
      <c r="C5" s="2" t="s">
        <v>41</v>
      </c>
      <c r="D5" s="2"/>
      <c r="E5" s="2"/>
      <c r="F5" s="2"/>
      <c r="G5" s="3"/>
      <c r="H5" s="4" t="s">
        <v>0</v>
      </c>
      <c r="I5" s="80" t="s">
        <v>1</v>
      </c>
      <c r="J5" s="80"/>
      <c r="K5" s="80"/>
      <c r="L5" s="80"/>
    </row>
    <row r="6" spans="1:15" ht="59.25" customHeight="1" x14ac:dyDescent="0.25">
      <c r="C6" s="5" t="s">
        <v>2</v>
      </c>
      <c r="D6" s="5" t="s">
        <v>35</v>
      </c>
      <c r="E6" s="5" t="s">
        <v>31</v>
      </c>
      <c r="F6" s="5" t="s">
        <v>4</v>
      </c>
      <c r="G6" s="6" t="s">
        <v>5</v>
      </c>
      <c r="H6" s="7" t="s">
        <v>6</v>
      </c>
      <c r="I6" s="8" t="s">
        <v>7</v>
      </c>
      <c r="J6" s="8" t="s">
        <v>8</v>
      </c>
      <c r="K6" s="8" t="s">
        <v>9</v>
      </c>
      <c r="L6" s="8" t="s">
        <v>10</v>
      </c>
    </row>
    <row r="7" spans="1:15" ht="15.75" thickBot="1" x14ac:dyDescent="0.3">
      <c r="A7" s="9"/>
      <c r="B7" s="9"/>
      <c r="C7" s="10" t="s">
        <v>11</v>
      </c>
      <c r="D7" s="11">
        <v>163182</v>
      </c>
      <c r="E7" s="12">
        <v>24852</v>
      </c>
      <c r="F7" s="11">
        <f>52562.9392632617-(0.239020304975714*52562.9392632617)</f>
        <v>39999.329490136959</v>
      </c>
      <c r="G7" s="13">
        <f t="shared" ref="G7:G12" si="0">F7/E7</f>
        <v>1.6095014280595912</v>
      </c>
      <c r="H7" s="14">
        <f>$G$12*E7-F7</f>
        <v>17712.13640246095</v>
      </c>
      <c r="I7" s="15">
        <f>E18</f>
        <v>1.2027875873817786</v>
      </c>
      <c r="J7" s="16">
        <f>I7*$D$14</f>
        <v>40001.106793555809</v>
      </c>
      <c r="K7" s="13">
        <f>LINEST('Barker Barambah'!$F$7:$F$11,'Barker Barambah'!$E$7:$E$11)*E7</f>
        <v>-1.596866963723649</v>
      </c>
      <c r="L7" s="17">
        <f>J7+K7-F7</f>
        <v>0.18043645512807416</v>
      </c>
    </row>
    <row r="8" spans="1:15" ht="16.5" thickTop="1" thickBot="1" x14ac:dyDescent="0.3">
      <c r="A8" s="9"/>
      <c r="B8" s="9"/>
      <c r="C8" s="10" t="s">
        <v>12</v>
      </c>
      <c r="D8" s="11">
        <v>163182</v>
      </c>
      <c r="E8" s="12">
        <v>17435</v>
      </c>
      <c r="F8" s="11">
        <f>52562.9392632617-(0.239020304975714*52562.9392632617)</f>
        <v>39999.329490136959</v>
      </c>
      <c r="G8" s="13">
        <f t="shared" si="0"/>
        <v>2.2941972750293638</v>
      </c>
      <c r="H8" s="14">
        <f>$G$12*E8-F8</f>
        <v>488.33378997910768</v>
      </c>
      <c r="I8" s="18">
        <f>I7</f>
        <v>1.2027875873817786</v>
      </c>
      <c r="J8" s="16">
        <f>I8*$D$14</f>
        <v>40001.106793555809</v>
      </c>
      <c r="K8" s="16">
        <f>LINEST('Barker Barambah'!$F$7:$F$11,'Barker Barambah'!$E$7:$E$11)*E8</f>
        <v>-1.1202871202527691</v>
      </c>
      <c r="L8" s="17">
        <f>J8+K8-F8</f>
        <v>0.65701629859540844</v>
      </c>
    </row>
    <row r="9" spans="1:15" ht="16.5" thickTop="1" thickBot="1" x14ac:dyDescent="0.3">
      <c r="A9" s="9"/>
      <c r="B9" s="9"/>
      <c r="C9" s="10" t="s">
        <v>13</v>
      </c>
      <c r="D9" s="11">
        <v>163182</v>
      </c>
      <c r="E9" s="12">
        <v>15187</v>
      </c>
      <c r="F9" s="11">
        <f>52567.3448332617-(0.239020304975714*52567.3448332617)</f>
        <v>40002.68203945196</v>
      </c>
      <c r="G9" s="13">
        <f t="shared" si="0"/>
        <v>2.6340081674756015</v>
      </c>
      <c r="H9" s="14">
        <f>$G$12*E9-F9</f>
        <v>-4735.3380626740545</v>
      </c>
      <c r="I9" s="18">
        <f>I8</f>
        <v>1.2027875873817786</v>
      </c>
      <c r="J9" s="16">
        <f>I9*$D$14</f>
        <v>40001.106793555809</v>
      </c>
      <c r="K9" s="16">
        <f>LINEST('Barker Barambah'!$F$7:$F$11,'Barker Barambah'!$E$7:$E$11)*E9</f>
        <v>-0.97584172614160059</v>
      </c>
      <c r="L9" s="17">
        <f>J9+K9-F9</f>
        <v>-2.5510876222906518</v>
      </c>
    </row>
    <row r="10" spans="1:15" ht="16.5" thickTop="1" thickBot="1" x14ac:dyDescent="0.3">
      <c r="A10" s="9"/>
      <c r="B10" s="9"/>
      <c r="C10" s="10" t="s">
        <v>14</v>
      </c>
      <c r="D10" s="11">
        <v>163182</v>
      </c>
      <c r="E10" s="12">
        <v>18010</v>
      </c>
      <c r="F10" s="11">
        <f>52562.9392632617-(0.239020304975714*52562.9392632617)</f>
        <v>39999.329490136959</v>
      </c>
      <c r="G10" s="13">
        <f t="shared" si="0"/>
        <v>2.2209511099465273</v>
      </c>
      <c r="H10" s="14">
        <f>$G$12*E10-F10</f>
        <v>1823.6022950589322</v>
      </c>
      <c r="I10" s="18">
        <f>I9</f>
        <v>1.2027875873817786</v>
      </c>
      <c r="J10" s="16">
        <f>I10*$D$14</f>
        <v>40001.106793555809</v>
      </c>
      <c r="K10" s="16">
        <f>LINEST('Barker Barambah'!$F$7:$F$11,'Barker Barambah'!$E$7:$E$11)*E10</f>
        <v>-1.1572337846717735</v>
      </c>
      <c r="L10" s="17">
        <f>J10+K10-F10</f>
        <v>0.62006963417661609</v>
      </c>
    </row>
    <row r="11" spans="1:15" ht="16.5" thickTop="1" thickBot="1" x14ac:dyDescent="0.3">
      <c r="A11" s="9"/>
      <c r="B11" s="9"/>
      <c r="C11" s="10" t="s">
        <v>15</v>
      </c>
      <c r="D11" s="11">
        <v>163182</v>
      </c>
      <c r="E11" s="12">
        <v>10641</v>
      </c>
      <c r="F11" s="11">
        <f>52562.9392632617-(0.239020304975714*52562.9392632617)</f>
        <v>39999.329490136959</v>
      </c>
      <c r="G11" s="13">
        <f t="shared" si="0"/>
        <v>3.7589821905964627</v>
      </c>
      <c r="H11" s="14">
        <f>$G$12*E11-F11</f>
        <v>-15288.734424824936</v>
      </c>
      <c r="I11" s="18">
        <f>I10</f>
        <v>1.2027875873817786</v>
      </c>
      <c r="J11" s="16">
        <f>I11*$D$14</f>
        <v>40001.106793555809</v>
      </c>
      <c r="K11" s="16">
        <f>LINEST('Barker Barambah'!$F$7:$F$11,'Barker Barambah'!$E$7:$E$11)*E11</f>
        <v>-0.68373818449152379</v>
      </c>
      <c r="L11" s="17">
        <f>J11+K11-F11</f>
        <v>1.0935652343614493</v>
      </c>
    </row>
    <row r="12" spans="1:15" ht="15.75" thickTop="1" x14ac:dyDescent="0.25">
      <c r="C12" s="20" t="s">
        <v>16</v>
      </c>
      <c r="D12" s="21">
        <f>AVERAGE(D7:D11)</f>
        <v>163182</v>
      </c>
      <c r="E12" s="21">
        <f>AVERAGE(E7:E11)</f>
        <v>17225</v>
      </c>
      <c r="F12" s="21">
        <f>AVERAGE(F7:F11)</f>
        <v>39999.999999999956</v>
      </c>
      <c r="G12" s="22">
        <f t="shared" si="0"/>
        <v>2.3222060957909991</v>
      </c>
      <c r="H12" s="23"/>
      <c r="I12" s="24"/>
      <c r="J12" s="25"/>
      <c r="K12" s="25"/>
      <c r="L12" s="26"/>
    </row>
    <row r="13" spans="1:15" ht="15.75" thickBot="1" x14ac:dyDescent="0.3">
      <c r="C13" s="27"/>
      <c r="D13" s="28"/>
      <c r="E13" s="28"/>
      <c r="F13" s="28"/>
      <c r="G13" s="74"/>
      <c r="H13" s="60"/>
      <c r="I13" s="19"/>
      <c r="J13" s="19"/>
      <c r="K13" s="19"/>
      <c r="L13" s="19"/>
    </row>
    <row r="14" spans="1:15" ht="15.75" thickBot="1" x14ac:dyDescent="0.3">
      <c r="C14" s="31" t="s">
        <v>17</v>
      </c>
      <c r="D14" s="32">
        <v>33257</v>
      </c>
      <c r="E14" s="33" t="s">
        <v>18</v>
      </c>
      <c r="F14" s="32">
        <f>E12</f>
        <v>17225</v>
      </c>
      <c r="G14" s="75"/>
      <c r="H14" s="59"/>
      <c r="I14" s="30"/>
      <c r="J14" s="19"/>
      <c r="K14" s="19"/>
      <c r="L14" s="19"/>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INTERCEPT(F7:F11,E7:E11)/D14</f>
        <v>1.2027875873817786</v>
      </c>
      <c r="F18" s="37">
        <v>1.2028642956724327</v>
      </c>
      <c r="G18" s="38"/>
      <c r="I18" s="39" t="s">
        <v>11</v>
      </c>
      <c r="J18" s="15">
        <f>F18</f>
        <v>1.2028642956724327</v>
      </c>
      <c r="K18" s="16">
        <f>J18*$D$14</f>
        <v>40003.657881178093</v>
      </c>
      <c r="L18" s="16">
        <f>LINEST('Barker Barambah'!$F$7:$F$11,'Barker Barambah'!$E$7:$E$11)*E7</f>
        <v>-1.596866963723649</v>
      </c>
      <c r="M18" s="17">
        <f>K18+L18-F7</f>
        <v>2.73152407741145</v>
      </c>
    </row>
    <row r="19" spans="3:13" ht="30.75" thickBot="1" x14ac:dyDescent="0.3">
      <c r="C19" s="36" t="s">
        <v>27</v>
      </c>
      <c r="D19" s="37">
        <f>ROUND(G12,2)</f>
        <v>2.3199999999999998</v>
      </c>
      <c r="E19" s="37">
        <f>LINEST(F7:F11,E7:E11)</f>
        <v>-6.4255068554790317E-5</v>
      </c>
      <c r="F19" s="37">
        <f>E19</f>
        <v>-6.4255068554790317E-5</v>
      </c>
      <c r="G19" s="40"/>
      <c r="H19" s="40"/>
      <c r="I19" s="39" t="s">
        <v>12</v>
      </c>
      <c r="J19" s="15">
        <f>J18</f>
        <v>1.2028642956724327</v>
      </c>
      <c r="K19" s="16">
        <f>J19*$D$14</f>
        <v>40003.657881178093</v>
      </c>
      <c r="L19" s="16">
        <f>LINEST('Barker Barambah'!$F$7:$F$11,'Barker Barambah'!$E$7:$E$11)*E8</f>
        <v>-1.1202871202527691</v>
      </c>
      <c r="M19" s="17">
        <f>K19+L19-F8</f>
        <v>3.2081039208787843</v>
      </c>
    </row>
    <row r="20" spans="3:13" ht="45.75" thickBot="1" x14ac:dyDescent="0.3">
      <c r="C20" s="41" t="s">
        <v>36</v>
      </c>
      <c r="D20" s="42">
        <f>MIN(H7:H11)</f>
        <v>-15288.734424824936</v>
      </c>
      <c r="E20" s="42">
        <f>MIN(L7:L11)</f>
        <v>-2.5510876222906518</v>
      </c>
      <c r="F20" s="42">
        <f>MIN(M18:M22)</f>
        <v>0</v>
      </c>
      <c r="G20" s="40"/>
      <c r="H20" s="40"/>
      <c r="I20" s="39" t="s">
        <v>13</v>
      </c>
      <c r="J20" s="15">
        <f>J19</f>
        <v>1.2028642956724327</v>
      </c>
      <c r="K20" s="16">
        <f>J20*$D$14</f>
        <v>40003.657881178093</v>
      </c>
      <c r="L20" s="16">
        <f>LINEST('Barker Barambah'!$F$7:$F$11,'Barker Barambah'!$E$7:$E$11)*E9</f>
        <v>-0.97584172614160059</v>
      </c>
      <c r="M20" s="17">
        <f>K20+L20-F9</f>
        <v>0</v>
      </c>
    </row>
    <row r="21" spans="3:13" ht="45.75" thickBot="1" x14ac:dyDescent="0.3">
      <c r="C21" s="36" t="s">
        <v>38</v>
      </c>
      <c r="D21" s="42">
        <f>MAX(H7:H11)</f>
        <v>17712.13640246095</v>
      </c>
      <c r="E21" s="43">
        <f>MAX(L7:L11)</f>
        <v>1.0935652343614493</v>
      </c>
      <c r="F21" s="43">
        <f>MAX(M18:M22)</f>
        <v>3.6446528566448251</v>
      </c>
      <c r="I21" s="39" t="s">
        <v>14</v>
      </c>
      <c r="J21" s="15">
        <f>J20</f>
        <v>1.2028642956724327</v>
      </c>
      <c r="K21" s="16">
        <f>J21*$D$14</f>
        <v>40003.657881178093</v>
      </c>
      <c r="L21" s="16">
        <f>LINEST('Barker Barambah'!$F$7:$F$11,'Barker Barambah'!$E$7:$E$11)*E10</f>
        <v>-1.1572337846717735</v>
      </c>
      <c r="M21" s="17">
        <f>K21+L21-F10</f>
        <v>3.1711572564599919</v>
      </c>
    </row>
    <row r="22" spans="3:13" ht="45.75" thickBot="1" x14ac:dyDescent="0.3">
      <c r="C22" s="36" t="s">
        <v>37</v>
      </c>
      <c r="D22" s="43">
        <f>AVERAGE(H7:H11)</f>
        <v>0</v>
      </c>
      <c r="E22" s="43">
        <f>AVERAGE(L7:L11)</f>
        <v>-5.820766091346741E-12</v>
      </c>
      <c r="F22" s="43">
        <f>AVERAGE(M18:M22)</f>
        <v>2.5510876222790104</v>
      </c>
      <c r="I22" s="44" t="s">
        <v>15</v>
      </c>
      <c r="J22" s="45">
        <f>J21</f>
        <v>1.2028642956724327</v>
      </c>
      <c r="K22" s="46">
        <f>J22*$D$14</f>
        <v>40003.657881178093</v>
      </c>
      <c r="L22" s="46">
        <f>LINEST('Barker Barambah'!$F$7:$F$11,'Barker Barambah'!$E$7:$E$11)*E11</f>
        <v>-0.68373818449152379</v>
      </c>
      <c r="M22" s="47">
        <f>K22+L22-F11</f>
        <v>3.6446528566448251</v>
      </c>
    </row>
    <row r="25" spans="3:13" x14ac:dyDescent="0.25">
      <c r="C25" t="s">
        <v>28</v>
      </c>
    </row>
  </sheetData>
  <mergeCells count="3">
    <mergeCell ref="I5:L5"/>
    <mergeCell ref="J16:M16"/>
    <mergeCell ref="C4:O4"/>
  </mergeCells>
  <conditionalFormatting sqref="D20:F22">
    <cfRule type="cellIs" dxfId="13" priority="2" operator="lessThan">
      <formula>0</formula>
    </cfRule>
  </conditionalFormatting>
  <conditionalFormatting sqref="H7:H11 L7:L11 M18:M22">
    <cfRule type="cellIs" dxfId="12" priority="1" operator="lessThan">
      <formula>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25"/>
  <sheetViews>
    <sheetView zoomScaleNormal="100" workbookViewId="0">
      <selection activeCell="C1" sqref="C1"/>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1.5703125" bestFit="1" customWidth="1"/>
  </cols>
  <sheetData>
    <row r="2" spans="1:16" x14ac:dyDescent="0.25">
      <c r="B2" s="1"/>
    </row>
    <row r="4" spans="1:16" ht="103.5" customHeight="1" x14ac:dyDescent="0.25">
      <c r="C4" s="81" t="s">
        <v>56</v>
      </c>
      <c r="D4" s="81"/>
      <c r="E4" s="81"/>
      <c r="F4" s="81"/>
      <c r="G4" s="81"/>
      <c r="H4" s="81"/>
      <c r="I4" s="81"/>
      <c r="J4" s="81"/>
      <c r="K4" s="81"/>
      <c r="L4" s="81"/>
      <c r="M4" s="81"/>
      <c r="N4" s="81"/>
      <c r="O4" s="81"/>
    </row>
    <row r="5" spans="1:16" ht="40.5" customHeight="1" x14ac:dyDescent="0.25">
      <c r="C5" s="2" t="s">
        <v>42</v>
      </c>
      <c r="D5" s="2"/>
      <c r="E5" s="2"/>
      <c r="F5" s="2"/>
      <c r="G5" s="2"/>
      <c r="H5" s="3"/>
      <c r="I5" s="4" t="s">
        <v>0</v>
      </c>
      <c r="J5" s="79" t="s">
        <v>1</v>
      </c>
      <c r="K5" s="80"/>
      <c r="L5" s="80"/>
      <c r="M5" s="80"/>
      <c r="N5" s="80"/>
    </row>
    <row r="6" spans="1:16" ht="59.25" customHeight="1" x14ac:dyDescent="0.25">
      <c r="C6" s="5" t="s">
        <v>29</v>
      </c>
      <c r="D6" s="5" t="s">
        <v>30</v>
      </c>
      <c r="E6" s="5" t="s">
        <v>31</v>
      </c>
      <c r="F6" s="5" t="s">
        <v>33</v>
      </c>
      <c r="G6" s="5" t="s">
        <v>4</v>
      </c>
      <c r="H6" s="6" t="s">
        <v>5</v>
      </c>
      <c r="I6" s="7" t="s">
        <v>6</v>
      </c>
      <c r="J6" s="8" t="s">
        <v>7</v>
      </c>
      <c r="K6" s="8" t="s">
        <v>8</v>
      </c>
      <c r="L6" s="8" t="s">
        <v>34</v>
      </c>
      <c r="M6" s="8" t="s">
        <v>9</v>
      </c>
      <c r="N6" s="8" t="s">
        <v>10</v>
      </c>
    </row>
    <row r="7" spans="1:16" ht="15.75" thickBot="1" x14ac:dyDescent="0.3">
      <c r="A7" s="9"/>
      <c r="B7" s="9"/>
      <c r="C7" s="10" t="s">
        <v>11</v>
      </c>
      <c r="D7" s="11">
        <v>1677345.4000000001</v>
      </c>
      <c r="E7" s="12">
        <v>9328</v>
      </c>
      <c r="F7" s="11">
        <f>68477.1102223614-(0.41125541660207*68477.1102223614)</f>
        <v>40315.527730158297</v>
      </c>
      <c r="G7" s="11">
        <f>759261.319477361-(0.41125541660207*759261.319477361)</f>
        <v>447010.98922586156</v>
      </c>
      <c r="H7" s="13">
        <f t="shared" ref="H7:H12" si="0">G7/E7</f>
        <v>47.921418227472294</v>
      </c>
      <c r="I7" s="14">
        <f>$H$12*E7-G7</f>
        <v>-49612.596769387368</v>
      </c>
      <c r="J7" s="15">
        <f>E18</f>
        <v>4.0773513820747906</v>
      </c>
      <c r="K7" s="16">
        <f>J7*$D$14</f>
        <v>40618.574468229068</v>
      </c>
      <c r="L7" s="16">
        <f>G7-K7</f>
        <v>406392.41475763248</v>
      </c>
      <c r="M7" s="16">
        <f>(IF($E$18=INTERCEPT($G$7:$G$11,$E$7:$E$11)/$D$14,LINEST($L$7:$L$11,$E$7:$E$11),(SUM($L$7:$L$11)/(SUM($E$7:$E$11)))))*E7</f>
        <v>343592.53846464813</v>
      </c>
      <c r="N7" s="17">
        <f>K7+M7-G7</f>
        <v>-62799.876292984351</v>
      </c>
      <c r="P7" s="67"/>
    </row>
    <row r="8" spans="1:16" ht="16.5" thickTop="1" thickBot="1" x14ac:dyDescent="0.3">
      <c r="A8" s="9"/>
      <c r="B8" s="9"/>
      <c r="C8" s="10" t="s">
        <v>12</v>
      </c>
      <c r="D8" s="11">
        <v>616746.89000000013</v>
      </c>
      <c r="E8" s="12">
        <v>4646</v>
      </c>
      <c r="F8" s="11">
        <f>69024.7619071047-(0.41125541660207*69024.7619071047)</f>
        <v>40637.954693139662</v>
      </c>
      <c r="G8" s="11">
        <f>318502.871699205-(0.41125541660207*318502.871699205)</f>
        <v>187516.84050959282</v>
      </c>
      <c r="H8" s="13">
        <f t="shared" si="0"/>
        <v>40.36092133224124</v>
      </c>
      <c r="I8" s="14">
        <f>$H$12*E8-G8</f>
        <v>10415.506333543861</v>
      </c>
      <c r="J8" s="18">
        <f>J7</f>
        <v>4.0773513820747906</v>
      </c>
      <c r="K8" s="16">
        <f>J8*$D$14</f>
        <v>40618.574468229068</v>
      </c>
      <c r="L8" s="16">
        <f>G8-K8</f>
        <v>146898.26604136376</v>
      </c>
      <c r="M8" s="16">
        <f>(IF($E$18=INTERCEPT($G$7:$G$11,$E$7:$E$11)/$D$14,LINEST($L$7:$L$11,$E$7:$E$11),(SUM($L$7:$L$11)/(SUM($E$7:$E$11)))))*E8</f>
        <v>171133.2476100724</v>
      </c>
      <c r="N8" s="17">
        <f>K8+M8-G8</f>
        <v>24234.981568708637</v>
      </c>
      <c r="P8" s="67"/>
    </row>
    <row r="9" spans="1:16" ht="16.5" thickTop="1" thickBot="1" x14ac:dyDescent="0.3">
      <c r="A9" s="9"/>
      <c r="B9" s="9"/>
      <c r="C9" s="10" t="s">
        <v>13</v>
      </c>
      <c r="D9" s="11">
        <v>731143.79999999993</v>
      </c>
      <c r="E9" s="12">
        <v>7662</v>
      </c>
      <c r="F9" s="11">
        <f>53159.9612395483-(0.41125541660207*53159.9612395483)</f>
        <v>31297.63923342797</v>
      </c>
      <c r="G9" s="11">
        <f>375877.578323248-(0.41125541660207*375877.578323248)</f>
        <v>221295.88825854345</v>
      </c>
      <c r="H9" s="13">
        <f t="shared" si="0"/>
        <v>28.882261584252603</v>
      </c>
      <c r="I9" s="14">
        <f>$H$12*E9-G9</f>
        <v>105126.33333252702</v>
      </c>
      <c r="J9" s="18">
        <f>J8</f>
        <v>4.0773513820747906</v>
      </c>
      <c r="K9" s="16">
        <f>J9*$D$14</f>
        <v>40618.574468229068</v>
      </c>
      <c r="L9" s="16">
        <f>G9-K9</f>
        <v>180677.31379031437</v>
      </c>
      <c r="M9" s="16">
        <f>(IF($E$18=INTERCEPT($G$7:$G$11,$E$7:$E$11)/$D$14,LINEST($L$7:$L$11,$E$7:$E$11),(SUM($L$7:$L$11)/(SUM($E$7:$E$11)))))*E9</f>
        <v>282226.20387179824</v>
      </c>
      <c r="N9" s="17">
        <f>K9+M9-G9</f>
        <v>101548.89008148387</v>
      </c>
      <c r="P9" s="67"/>
    </row>
    <row r="10" spans="1:16" ht="16.5" thickTop="1" thickBot="1" x14ac:dyDescent="0.3">
      <c r="A10" s="9"/>
      <c r="B10" s="9"/>
      <c r="C10" s="10" t="s">
        <v>14</v>
      </c>
      <c r="D10" s="11">
        <v>1707598.76</v>
      </c>
      <c r="E10" s="12">
        <v>9668</v>
      </c>
      <c r="F10" s="11">
        <f>85455.1754094045-(0.41125541660207*85455.1754094045)</f>
        <v>50311.271645606888</v>
      </c>
      <c r="G10" s="11">
        <f>809589.667229404-(0.41125541660207*809589.667229404)</f>
        <v>476641.53135624423</v>
      </c>
      <c r="H10" s="13">
        <f t="shared" si="0"/>
        <v>49.300944492784879</v>
      </c>
      <c r="I10" s="14">
        <f>$H$12*E10-G10</f>
        <v>-64758.206070095825</v>
      </c>
      <c r="J10" s="18">
        <f>J9</f>
        <v>4.0773513820747906</v>
      </c>
      <c r="K10" s="16">
        <f>J10*$D$14</f>
        <v>40618.574468229068</v>
      </c>
      <c r="L10" s="16">
        <f>G10-K10</f>
        <v>436022.95688801515</v>
      </c>
      <c r="M10" s="16">
        <f>(IF($E$18=INTERCEPT($G$7:$G$11,$E$7:$E$11)/$D$14,LINEST($L$7:$L$11,$E$7:$E$11),(SUM($L$7:$L$11)/(SUM($E$7:$E$11)))))*E10</f>
        <v>356116.28021829098</v>
      </c>
      <c r="N10" s="17">
        <f>K10+M10-G10</f>
        <v>-79906.676669724169</v>
      </c>
      <c r="P10" s="67"/>
    </row>
    <row r="11" spans="1:16" ht="16.5" thickTop="1" thickBot="1" x14ac:dyDescent="0.3">
      <c r="A11" s="9"/>
      <c r="B11" s="9"/>
      <c r="C11" s="10" t="s">
        <v>15</v>
      </c>
      <c r="D11" s="11">
        <v>500963.76</v>
      </c>
      <c r="E11" s="12">
        <v>3905</v>
      </c>
      <c r="F11" s="11">
        <f>68842.2113455236-(0.41125541660207*68842.2113455236)</f>
        <v>40530.47903881254</v>
      </c>
      <c r="G11" s="11">
        <f>284562.704055524-(0.41125541660207*284562.704055524)</f>
        <v>167534.75064975795</v>
      </c>
      <c r="H11" s="13">
        <f t="shared" si="0"/>
        <v>42.90262500634006</v>
      </c>
      <c r="I11" s="14">
        <f>$H$12*E11-G11</f>
        <v>-1171.0368265877478</v>
      </c>
      <c r="J11" s="18">
        <f>J10</f>
        <v>4.0773513820747906</v>
      </c>
      <c r="K11" s="16">
        <f>J11*$D$14</f>
        <v>40618.574468229068</v>
      </c>
      <c r="L11" s="16">
        <f>G11-K11</f>
        <v>126916.17618152888</v>
      </c>
      <c r="M11" s="16">
        <f>(IF($E$18=INTERCEPT($G$7:$G$11,$E$7:$E$11)/$D$14,LINEST($L$7:$L$11,$E$7:$E$11),(SUM($L$7:$L$11)/(SUM($E$7:$E$11)))))*E11</f>
        <v>143838.85749404493</v>
      </c>
      <c r="N11" s="17">
        <f>K11+M11-G11</f>
        <v>16922.68131251607</v>
      </c>
      <c r="P11" s="67"/>
    </row>
    <row r="12" spans="1:16" ht="15.75" thickTop="1" x14ac:dyDescent="0.25">
      <c r="C12" s="20" t="s">
        <v>16</v>
      </c>
      <c r="D12" s="21">
        <f>AVERAGE(D7:D11)</f>
        <v>1046759.7219999998</v>
      </c>
      <c r="E12" s="21">
        <f>AVERAGE(E7:E11)</f>
        <v>7041.8</v>
      </c>
      <c r="F12" s="21">
        <f>AVERAGE(F7:F11)</f>
        <v>40618.574468229068</v>
      </c>
      <c r="G12" s="21">
        <f>AVERAGE(G7:G11)</f>
        <v>300000</v>
      </c>
      <c r="H12" s="22">
        <f t="shared" si="0"/>
        <v>42.602743616688912</v>
      </c>
      <c r="I12" s="23"/>
      <c r="J12" s="24"/>
      <c r="K12" s="25"/>
      <c r="L12" s="25"/>
      <c r="M12" s="25"/>
      <c r="N12" s="26"/>
    </row>
    <row r="13" spans="1:16" ht="15.75" thickBot="1" x14ac:dyDescent="0.3">
      <c r="C13" s="27"/>
      <c r="D13" s="28"/>
      <c r="E13" s="28"/>
      <c r="F13" s="28"/>
      <c r="G13" s="74"/>
      <c r="H13" s="60"/>
      <c r="I13" s="19"/>
      <c r="J13" s="19"/>
      <c r="K13" s="19"/>
      <c r="L13" s="19"/>
    </row>
    <row r="14" spans="1:16" ht="15.75" thickBot="1" x14ac:dyDescent="0.3">
      <c r="C14" s="31" t="s">
        <v>17</v>
      </c>
      <c r="D14" s="32">
        <v>9962</v>
      </c>
      <c r="E14" s="33" t="s">
        <v>18</v>
      </c>
      <c r="F14" s="32">
        <f>E12</f>
        <v>7041.8</v>
      </c>
      <c r="G14" s="75"/>
      <c r="H14" s="59"/>
      <c r="I14" s="30"/>
      <c r="J14" s="19"/>
      <c r="K14" s="19"/>
      <c r="L14" s="19"/>
      <c r="M14" s="19"/>
    </row>
    <row r="15" spans="1:16" x14ac:dyDescent="0.25">
      <c r="G15" s="75"/>
      <c r="H15" s="38"/>
    </row>
    <row r="16" spans="1:16"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4.0773513820747906</v>
      </c>
      <c r="F18" s="37">
        <v>12.098499411559253</v>
      </c>
      <c r="G18" s="38"/>
      <c r="I18" s="39" t="s">
        <v>11</v>
      </c>
      <c r="J18" s="15">
        <f>F18</f>
        <v>12.098499411559253</v>
      </c>
      <c r="K18" s="16">
        <f>J18*$D$14</f>
        <v>120525.25113795328</v>
      </c>
      <c r="L18" s="16">
        <f>(IF($E$18=INTERCEPT($G$7:$G$11,$E$7:$E$11)/$D$14,LINEST($L$7:$L$11,$E$7:$E$11),(SUM($L$7:$L$11)/(SUM($E$7:$E$11)))))*E7</f>
        <v>343592.53846464813</v>
      </c>
      <c r="M18" s="17">
        <f>K18+L18-G7</f>
        <v>17106.800376739877</v>
      </c>
    </row>
    <row r="19" spans="3:13" ht="30.75" thickBot="1" x14ac:dyDescent="0.3">
      <c r="C19" s="36" t="s">
        <v>27</v>
      </c>
      <c r="D19" s="37">
        <f>H12</f>
        <v>42.602743616688912</v>
      </c>
      <c r="E19" s="37">
        <f>IF(E18=INTERCEPT(G7:G11,E7:E11)/D14,LINEST(L7:L11,E7:E11),(SUM(L7:L11)/(SUM(E7:E11))))</f>
        <v>36.834534569537752</v>
      </c>
      <c r="F19" s="37">
        <f>E19</f>
        <v>36.834534569537752</v>
      </c>
      <c r="G19" s="40"/>
      <c r="H19" s="40"/>
      <c r="I19" s="39" t="s">
        <v>12</v>
      </c>
      <c r="J19" s="15">
        <f>J18</f>
        <v>12.098499411559253</v>
      </c>
      <c r="K19" s="16">
        <f>J19*$D$14</f>
        <v>120525.25113795328</v>
      </c>
      <c r="L19" s="16">
        <f>(IF($E$18=INTERCEPT($G$7:$G$11,$E$7:$E$11)/$D$14,LINEST($L$7:$L$11,$E$7:$E$11),(SUM($L$7:$L$11)/(SUM($E$7:$E$11)))))*E8</f>
        <v>171133.2476100724</v>
      </c>
      <c r="M19" s="17">
        <f>K19+L19-G8</f>
        <v>104141.65823843286</v>
      </c>
    </row>
    <row r="20" spans="3:13" ht="45.75" thickBot="1" x14ac:dyDescent="0.3">
      <c r="C20" s="41" t="s">
        <v>36</v>
      </c>
      <c r="D20" s="42">
        <f>MIN(I7:I11)</f>
        <v>-64758.206070095825</v>
      </c>
      <c r="E20" s="42">
        <f>MIN(N7:N11)</f>
        <v>-79906.676669724169</v>
      </c>
      <c r="F20" s="42">
        <f>MIN(M18:M22)</f>
        <v>0</v>
      </c>
      <c r="G20" s="40"/>
      <c r="H20" s="40"/>
      <c r="I20" s="39" t="s">
        <v>13</v>
      </c>
      <c r="J20" s="15">
        <f>J19</f>
        <v>12.098499411559253</v>
      </c>
      <c r="K20" s="16">
        <f>J20*$D$14</f>
        <v>120525.25113795328</v>
      </c>
      <c r="L20" s="16">
        <f>(IF($E$18=INTERCEPT($G$7:$G$11,$E$7:$E$11)/$D$14,LINEST($L$7:$L$11,$E$7:$E$11),(SUM($L$7:$L$11)/(SUM($E$7:$E$11)))))*E9</f>
        <v>282226.20387179824</v>
      </c>
      <c r="M20" s="17">
        <f>K20+L20-G9</f>
        <v>181455.56675120804</v>
      </c>
    </row>
    <row r="21" spans="3:13" ht="45.75" thickBot="1" x14ac:dyDescent="0.3">
      <c r="C21" s="36" t="s">
        <v>38</v>
      </c>
      <c r="D21" s="42">
        <f>MAX(I7:I11)</f>
        <v>105126.33333252702</v>
      </c>
      <c r="E21" s="43">
        <f>MAX(N7:N11)</f>
        <v>101548.89008148387</v>
      </c>
      <c r="F21" s="43">
        <f>MAX(M18:M22)</f>
        <v>181455.56675120804</v>
      </c>
      <c r="I21" s="39" t="s">
        <v>14</v>
      </c>
      <c r="J21" s="15">
        <f>J20</f>
        <v>12.098499411559253</v>
      </c>
      <c r="K21" s="16">
        <f>J21*$D$14</f>
        <v>120525.25113795328</v>
      </c>
      <c r="L21" s="16">
        <f>(IF($E$18=INTERCEPT($G$7:$G$11,$E$7:$E$11)/$D$14,LINEST($L$7:$L$11,$E$7:$E$11),(SUM($L$7:$L$11)/(SUM($E$7:$E$11)))))*E10</f>
        <v>356116.28021829098</v>
      </c>
      <c r="M21" s="17">
        <f>K21+L21-G10</f>
        <v>0</v>
      </c>
    </row>
    <row r="22" spans="3:13" ht="45.75" thickBot="1" x14ac:dyDescent="0.3">
      <c r="C22" s="36" t="s">
        <v>37</v>
      </c>
      <c r="D22" s="43">
        <f>AVERAGE(I7:I11)</f>
        <v>-1.1641532182693482E-11</v>
      </c>
      <c r="E22" s="43">
        <f>AVERAGE(N7:N11)</f>
        <v>1.1641532182693482E-11</v>
      </c>
      <c r="F22" s="43">
        <f>AVERAGE(M18:M22)</f>
        <v>79906.676669724213</v>
      </c>
      <c r="I22" s="44" t="s">
        <v>15</v>
      </c>
      <c r="J22" s="45">
        <f>J21</f>
        <v>12.098499411559253</v>
      </c>
      <c r="K22" s="46">
        <f>J22*$D$14</f>
        <v>120525.25113795328</v>
      </c>
      <c r="L22" s="46">
        <f>(IF($E$18=INTERCEPT($G$7:$G$11,$E$7:$E$11)/$D$14,LINEST($L$7:$L$11,$E$7:$E$11),(SUM($L$7:$L$11)/(SUM($E$7:$E$11)))))*E11</f>
        <v>143838.85749404493</v>
      </c>
      <c r="M22" s="47">
        <f>K22+L22-G11</f>
        <v>96829.357982240239</v>
      </c>
    </row>
    <row r="25" spans="3:13" x14ac:dyDescent="0.25">
      <c r="C25" t="s">
        <v>28</v>
      </c>
    </row>
  </sheetData>
  <mergeCells count="3">
    <mergeCell ref="J5:N5"/>
    <mergeCell ref="J16:M16"/>
    <mergeCell ref="C4:O4"/>
  </mergeCells>
  <conditionalFormatting sqref="D20:F22">
    <cfRule type="cellIs" dxfId="11" priority="2" operator="lessThan">
      <formula>0</formula>
    </cfRule>
  </conditionalFormatting>
  <conditionalFormatting sqref="I7:I11 N7:N11 M18:M22">
    <cfRule type="cellIs" dxfId="10" priority="1" operator="lessThan">
      <formula>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zoomScaleNormal="100" workbookViewId="0"/>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2" customWidth="1"/>
  </cols>
  <sheetData>
    <row r="2" spans="1:15" x14ac:dyDescent="0.25">
      <c r="B2" s="1"/>
    </row>
    <row r="4" spans="1:15" ht="73.5" customHeight="1" x14ac:dyDescent="0.25">
      <c r="C4" s="81" t="s">
        <v>56</v>
      </c>
      <c r="D4" s="81"/>
      <c r="E4" s="81"/>
      <c r="F4" s="81"/>
      <c r="G4" s="81"/>
      <c r="H4" s="81"/>
      <c r="I4" s="81"/>
      <c r="J4" s="81"/>
      <c r="K4" s="81"/>
      <c r="L4" s="81"/>
      <c r="M4" s="81"/>
      <c r="N4" s="81"/>
      <c r="O4" s="81"/>
    </row>
    <row r="5" spans="1:15" ht="45" customHeight="1" x14ac:dyDescent="0.25">
      <c r="C5" s="2" t="s">
        <v>43</v>
      </c>
      <c r="D5" s="2"/>
      <c r="E5" s="2"/>
      <c r="F5" s="2"/>
      <c r="G5" s="3"/>
      <c r="H5" s="4" t="s">
        <v>0</v>
      </c>
      <c r="I5" s="48"/>
      <c r="J5" s="80" t="s">
        <v>1</v>
      </c>
      <c r="K5" s="80"/>
      <c r="L5" s="80"/>
      <c r="M5" s="80"/>
      <c r="N5" s="80"/>
    </row>
    <row r="6" spans="1:15" ht="59.25" customHeight="1" x14ac:dyDescent="0.25">
      <c r="C6" s="5" t="s">
        <v>29</v>
      </c>
      <c r="D6" s="5" t="s">
        <v>30</v>
      </c>
      <c r="E6" s="5" t="s">
        <v>31</v>
      </c>
      <c r="F6" s="5" t="s">
        <v>32</v>
      </c>
      <c r="G6" s="5" t="s">
        <v>4</v>
      </c>
      <c r="H6" s="6" t="s">
        <v>5</v>
      </c>
      <c r="I6" s="7" t="s">
        <v>6</v>
      </c>
      <c r="J6" s="8" t="s">
        <v>7</v>
      </c>
      <c r="K6" s="8" t="s">
        <v>8</v>
      </c>
      <c r="L6" s="8" t="s">
        <v>34</v>
      </c>
      <c r="M6" s="8" t="s">
        <v>9</v>
      </c>
      <c r="N6" s="8" t="s">
        <v>10</v>
      </c>
    </row>
    <row r="7" spans="1:15" ht="15.75" thickBot="1" x14ac:dyDescent="0.3">
      <c r="A7" s="9"/>
      <c r="B7" s="9"/>
      <c r="C7" s="49" t="s">
        <v>11</v>
      </c>
      <c r="D7" s="11">
        <v>1565148.375</v>
      </c>
      <c r="E7" s="50">
        <v>95211.199999999997</v>
      </c>
      <c r="F7" s="50">
        <f>133263.745626407-(-0.0105715201780696*133263.745626407)</f>
        <v>134672.54600230171</v>
      </c>
      <c r="G7" s="11">
        <f>459703.061321424-(-0.0105715201780696*459703.061321424)</f>
        <v>464562.82151010376</v>
      </c>
      <c r="H7" s="51">
        <f t="shared" ref="H7:H12" si="0">G7/E7</f>
        <v>4.8792875366564417</v>
      </c>
      <c r="I7" s="52">
        <f>$H$12*E7-G7</f>
        <v>31873.63298715814</v>
      </c>
      <c r="J7" s="53">
        <f>E18</f>
        <v>1.8657285312720235</v>
      </c>
      <c r="K7" s="54">
        <f>J7*$D$14</f>
        <v>253191.30235621374</v>
      </c>
      <c r="L7" s="54">
        <f>G7-K7</f>
        <v>211371.51915389003</v>
      </c>
      <c r="M7" s="54">
        <f>(IF($E$18=INTERCEPT($G$7:$G$11,$E$7:$E$11)/$D$14,LINEST($L$7:$L$11,$E$7:$E$11),(SUM($L$7:$L$11)/(SUM($E$7:$E$11)))))*E7</f>
        <v>260481.14672316203</v>
      </c>
      <c r="N7" s="55">
        <f>K7+M7-G7</f>
        <v>49109.627569272008</v>
      </c>
    </row>
    <row r="8" spans="1:15" ht="16.5" thickTop="1" thickBot="1" x14ac:dyDescent="0.3">
      <c r="A8" s="9"/>
      <c r="B8" s="9"/>
      <c r="C8" s="49" t="s">
        <v>12</v>
      </c>
      <c r="D8" s="11">
        <v>1978512</v>
      </c>
      <c r="E8" s="50">
        <v>111986.4</v>
      </c>
      <c r="F8" s="50">
        <f>133695.109509966-(-0.0105715201780696*133695.109509966)</f>
        <v>135108.47005785981</v>
      </c>
      <c r="G8" s="11">
        <f>559247.745719966-(-0.0105715201780696*559247.745719966)</f>
        <v>565159.84454838454</v>
      </c>
      <c r="H8" s="51">
        <f t="shared" si="0"/>
        <v>5.0466828520997602</v>
      </c>
      <c r="I8" s="52">
        <f>$H$12*E8-G8</f>
        <v>18743.429099171306</v>
      </c>
      <c r="J8" s="56">
        <f>J7</f>
        <v>1.8657285312720235</v>
      </c>
      <c r="K8" s="54">
        <f>J8*$D$14</f>
        <v>253191.30235621374</v>
      </c>
      <c r="L8" s="54">
        <f>G8-K8</f>
        <v>311968.5421921708</v>
      </c>
      <c r="M8" s="54">
        <f>(IF($E$18=INTERCEPT($G$7:$G$11,$E$7:$E$11)/$D$14,LINEST($L$7:$L$11,$E$7:$E$11),(SUM($L$7:$L$11)/(SUM($E$7:$E$11)))))*E8</f>
        <v>306375.15218166256</v>
      </c>
      <c r="N8" s="55">
        <f>K8+M8-G8</f>
        <v>-5593.390010508243</v>
      </c>
    </row>
    <row r="9" spans="1:15" ht="16.5" thickTop="1" thickBot="1" x14ac:dyDescent="0.3">
      <c r="A9" s="9"/>
      <c r="B9" s="9"/>
      <c r="C9" s="49" t="s">
        <v>13</v>
      </c>
      <c r="D9" s="11">
        <v>2047021.2999999998</v>
      </c>
      <c r="E9" s="50">
        <v>118745.8</v>
      </c>
      <c r="F9" s="50">
        <f>137244.83273527-(-0.0105715201780696*137244.83273527)</f>
        <v>138695.7192538667</v>
      </c>
      <c r="G9" s="11">
        <f>577370.76724127-(-0.0105715201780696*577370.76724127)</f>
        <v>583474.45395738864</v>
      </c>
      <c r="H9" s="51">
        <f t="shared" si="0"/>
        <v>4.9136428737470181</v>
      </c>
      <c r="I9" s="52">
        <f>$H$12*E9-G9</f>
        <v>35672.704553805059</v>
      </c>
      <c r="J9" s="56">
        <f>J8</f>
        <v>1.8657285312720235</v>
      </c>
      <c r="K9" s="54">
        <f>J9*$D$14</f>
        <v>253191.30235621374</v>
      </c>
      <c r="L9" s="54">
        <f>G9-K9</f>
        <v>330283.1516011749</v>
      </c>
      <c r="M9" s="54">
        <f>(IF($E$18=INTERCEPT($G$7:$G$11,$E$7:$E$11)/$D$14,LINEST($L$7:$L$11,$E$7:$E$11),(SUM($L$7:$L$11)/(SUM($E$7:$E$11)))))*E9</f>
        <v>324867.68523618288</v>
      </c>
      <c r="N9" s="55">
        <f>K9+M9-G9</f>
        <v>-5415.466364992084</v>
      </c>
    </row>
    <row r="10" spans="1:15" ht="16.5" thickTop="1" thickBot="1" x14ac:dyDescent="0.3">
      <c r="A10" s="9"/>
      <c r="B10" s="9"/>
      <c r="C10" s="49" t="s">
        <v>14</v>
      </c>
      <c r="D10" s="11">
        <v>1889862.5</v>
      </c>
      <c r="E10" s="50">
        <v>102363.6</v>
      </c>
      <c r="F10" s="50">
        <f>134040.409017666-(-0.0105715201780696*134040.409017666)</f>
        <v>135457.41990627296</v>
      </c>
      <c r="G10" s="11">
        <f>540735.523587666-(-0.0105715201780696*540735.523587666)</f>
        <v>546451.92008627206</v>
      </c>
      <c r="H10" s="51">
        <f t="shared" si="0"/>
        <v>5.3383421459021765</v>
      </c>
      <c r="I10" s="52">
        <f>$H$12*E10-G10</f>
        <v>-12722.457023355877</v>
      </c>
      <c r="J10" s="56">
        <f>J9</f>
        <v>1.8657285312720235</v>
      </c>
      <c r="K10" s="54">
        <f>J10*$D$14</f>
        <v>253191.30235621374</v>
      </c>
      <c r="L10" s="54">
        <f>G10-K10</f>
        <v>293260.61773005832</v>
      </c>
      <c r="M10" s="54">
        <f>(IF($E$18=INTERCEPT($G$7:$G$11,$E$7:$E$11)/$D$14,LINEST($L$7:$L$11,$E$7:$E$11),(SUM($L$7:$L$11)/(SUM($E$7:$E$11)))))*E10</f>
        <v>280048.85886020836</v>
      </c>
      <c r="N10" s="55">
        <f>K10+M10-G10</f>
        <v>-13211.75886984996</v>
      </c>
    </row>
    <row r="11" spans="1:15" ht="16.5" thickTop="1" thickBot="1" x14ac:dyDescent="0.3">
      <c r="A11" s="9"/>
      <c r="B11" s="9"/>
      <c r="C11" s="49" t="s">
        <v>15</v>
      </c>
      <c r="D11" s="11">
        <v>1724231.2000000002</v>
      </c>
      <c r="E11" s="50">
        <v>82523.8</v>
      </c>
      <c r="F11" s="50">
        <f>127118.184722368-(-0.0105715201780696*127118.184722368)</f>
        <v>128462.01717716009</v>
      </c>
      <c r="G11" s="11">
        <f>498580.209156368-(-0.0105715201780696*498580.209156368)</f>
        <v>503850.9598978507</v>
      </c>
      <c r="H11" s="51">
        <f t="shared" si="0"/>
        <v>6.1055230115172918</v>
      </c>
      <c r="I11" s="52">
        <f>$H$12*E11-G11</f>
        <v>-73567.309616779268</v>
      </c>
      <c r="J11" s="56">
        <f>J10</f>
        <v>1.8657285312720235</v>
      </c>
      <c r="K11" s="54">
        <f>J11*$D$14</f>
        <v>253191.30235621374</v>
      </c>
      <c r="L11" s="54">
        <f>G11-K11</f>
        <v>250659.65754163696</v>
      </c>
      <c r="M11" s="54">
        <f>(IF($E$18=INTERCEPT($G$7:$G$11,$E$7:$E$11)/$D$14,LINEST($L$7:$L$11,$E$7:$E$11),(SUM($L$7:$L$11)/(SUM($E$7:$E$11)))))*E11</f>
        <v>225770.64521771474</v>
      </c>
      <c r="N11" s="55">
        <f>K11+M11-G11</f>
        <v>-24889.012323922187</v>
      </c>
    </row>
    <row r="12" spans="1:15" ht="15.75" thickTop="1" x14ac:dyDescent="0.25">
      <c r="C12" s="20" t="s">
        <v>16</v>
      </c>
      <c r="D12" s="21">
        <f>AVERAGE(D7:D11)</f>
        <v>1840955.075</v>
      </c>
      <c r="E12" s="21">
        <f>AVERAGE(E7:E11)</f>
        <v>102166.16</v>
      </c>
      <c r="F12" s="21">
        <f>AVERAGE(F7:F11)</f>
        <v>134479.23447949224</v>
      </c>
      <c r="G12" s="21">
        <f>AVERAGE(G7:G11)</f>
        <v>532699.99999999988</v>
      </c>
      <c r="H12" s="57">
        <f t="shared" si="0"/>
        <v>5.2140552214157783</v>
      </c>
      <c r="I12" s="58"/>
      <c r="J12" s="24"/>
      <c r="K12" s="25"/>
      <c r="L12" s="25"/>
      <c r="M12" s="25"/>
      <c r="N12" s="26"/>
    </row>
    <row r="13" spans="1:15" ht="15.75" thickBot="1" x14ac:dyDescent="0.3">
      <c r="C13" s="27"/>
      <c r="D13" s="28"/>
      <c r="E13" s="28"/>
      <c r="F13" s="28"/>
      <c r="G13" s="74"/>
      <c r="H13" s="60"/>
      <c r="I13" s="19"/>
      <c r="J13" s="19"/>
      <c r="K13" s="19"/>
      <c r="L13" s="19"/>
    </row>
    <row r="14" spans="1:15" ht="15.75" thickBot="1" x14ac:dyDescent="0.3">
      <c r="C14" s="31" t="s">
        <v>17</v>
      </c>
      <c r="D14" s="32">
        <v>135706.4</v>
      </c>
      <c r="E14" s="61" t="s">
        <v>18</v>
      </c>
      <c r="F14" s="32">
        <f>E12</f>
        <v>102166.16</v>
      </c>
      <c r="G14" s="75"/>
      <c r="H14" s="59"/>
      <c r="I14" s="60"/>
      <c r="J14" s="19"/>
      <c r="K14" s="19"/>
      <c r="L14" s="19"/>
      <c r="M14" s="19"/>
    </row>
    <row r="15" spans="1:15" x14ac:dyDescent="0.25">
      <c r="G15" s="7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1.8657285312720235</v>
      </c>
      <c r="F18" s="37">
        <v>2.4268768955254196</v>
      </c>
      <c r="G18" s="62"/>
      <c r="I18" s="39" t="s">
        <v>11</v>
      </c>
      <c r="J18" s="53">
        <f>F18</f>
        <v>2.4268768955254196</v>
      </c>
      <c r="K18" s="54">
        <f>J18*$D$14</f>
        <v>329342.72673493077</v>
      </c>
      <c r="L18" s="54">
        <f>(IF($E$18=INTERCEPT($G$7:$G$11,$E$7:$E$11)/$D$14,LINEST($L$7:$L$11,$E$7:$E$11),(SUM($L$7:$L$11)/(SUM($E$7:$E$11)))))*E7</f>
        <v>260481.14672316203</v>
      </c>
      <c r="M18" s="55">
        <f>K18+L18-G7</f>
        <v>125261.05194798904</v>
      </c>
    </row>
    <row r="19" spans="3:13" ht="30.75" thickBot="1" x14ac:dyDescent="0.3">
      <c r="C19" s="36" t="s">
        <v>27</v>
      </c>
      <c r="D19" s="37">
        <f>H12</f>
        <v>5.2140552214157783</v>
      </c>
      <c r="E19" s="37">
        <f>IF(E18=INTERCEPT(G7:G11,E7:E11)/D14,LINEST(L7:L11,E7:E11),(SUM(L7:L11)/(SUM(E7:E11))))</f>
        <v>2.7358246374708233</v>
      </c>
      <c r="F19" s="37">
        <f>E19</f>
        <v>2.7358246374708233</v>
      </c>
      <c r="G19" s="63"/>
      <c r="H19" s="63"/>
      <c r="I19" s="39" t="s">
        <v>12</v>
      </c>
      <c r="J19" s="53">
        <f>J18</f>
        <v>2.4268768955254196</v>
      </c>
      <c r="K19" s="54">
        <f>J19*$D$14</f>
        <v>329342.72673493077</v>
      </c>
      <c r="L19" s="54">
        <f>(IF($E$18=INTERCEPT($G$7:$G$11,$E$7:$E$11)/$D$14,LINEST($L$7:$L$11,$E$7:$E$11),(SUM($L$7:$L$11)/(SUM($E$7:$E$11)))))*E8</f>
        <v>306375.15218166256</v>
      </c>
      <c r="M19" s="55">
        <f>K19+L19-G8</f>
        <v>70558.034368208726</v>
      </c>
    </row>
    <row r="20" spans="3:13" ht="45.75" thickBot="1" x14ac:dyDescent="0.3">
      <c r="C20" s="41" t="s">
        <v>36</v>
      </c>
      <c r="D20" s="42">
        <f>MIN(I7:I11)</f>
        <v>-73567.309616779268</v>
      </c>
      <c r="E20" s="42">
        <f>MIN(N7:N11)</f>
        <v>-24889.012323922187</v>
      </c>
      <c r="F20" s="42">
        <f>MIN(M18:M22)</f>
        <v>51262.412054794782</v>
      </c>
      <c r="G20" s="63"/>
      <c r="H20" s="63"/>
      <c r="I20" s="39" t="s">
        <v>13</v>
      </c>
      <c r="J20" s="53">
        <f>J19</f>
        <v>2.4268768955254196</v>
      </c>
      <c r="K20" s="54">
        <f>J20*$D$14</f>
        <v>329342.72673493077</v>
      </c>
      <c r="L20" s="54">
        <f>(IF($E$18=INTERCEPT($G$7:$G$11,$E$7:$E$11)/$D$14,LINEST($L$7:$L$11,$E$7:$E$11),(SUM($L$7:$L$11)/(SUM($E$7:$E$11)))))*E9</f>
        <v>324867.68523618288</v>
      </c>
      <c r="M20" s="55">
        <f>K20+L20-G9</f>
        <v>70735.958013725001</v>
      </c>
    </row>
    <row r="21" spans="3:13" ht="45.75" thickBot="1" x14ac:dyDescent="0.3">
      <c r="C21" s="36" t="s">
        <v>38</v>
      </c>
      <c r="D21" s="42">
        <f>MAX(I7:I11)</f>
        <v>35672.704553805059</v>
      </c>
      <c r="E21" s="43">
        <f>MAX(N7:N11)</f>
        <v>49109.627569272008</v>
      </c>
      <c r="F21" s="43">
        <f>MAX(M18:M22)</f>
        <v>125261.05194798904</v>
      </c>
      <c r="I21" s="39" t="s">
        <v>14</v>
      </c>
      <c r="J21" s="53">
        <f>J20</f>
        <v>2.4268768955254196</v>
      </c>
      <c r="K21" s="54">
        <f>J21*$D$14</f>
        <v>329342.72673493077</v>
      </c>
      <c r="L21" s="54">
        <f>(IF($E$18=INTERCEPT($G$7:$G$11,$E$7:$E$11)/$D$14,LINEST($L$7:$L$11,$E$7:$E$11),(SUM($L$7:$L$11)/(SUM($E$7:$E$11)))))*E10</f>
        <v>280048.85886020836</v>
      </c>
      <c r="M21" s="55">
        <f>K21+L21-G10</f>
        <v>62939.665508867009</v>
      </c>
    </row>
    <row r="22" spans="3:13" ht="45.75" thickBot="1" x14ac:dyDescent="0.3">
      <c r="C22" s="36" t="s">
        <v>37</v>
      </c>
      <c r="D22" s="43">
        <f>AVERAGE(I7:I11)</f>
        <v>-1.2805685400962831E-10</v>
      </c>
      <c r="E22" s="43">
        <f>AVERAGE(N7:N11)</f>
        <v>-9.3132257461547857E-11</v>
      </c>
      <c r="F22" s="43">
        <f>AVERAGE(M18:M22)</f>
        <v>76151.424378716911</v>
      </c>
      <c r="I22" s="44" t="s">
        <v>15</v>
      </c>
      <c r="J22" s="64">
        <f>J21</f>
        <v>2.4268768955254196</v>
      </c>
      <c r="K22" s="65">
        <f>J22*$D$14</f>
        <v>329342.72673493077</v>
      </c>
      <c r="L22" s="65">
        <f>(IF($E$18=INTERCEPT($G$7:$G$11,$E$7:$E$11)/$D$14,LINEST($L$7:$L$11,$E$7:$E$11),(SUM($L$7:$L$11)/(SUM($E$7:$E$11)))))*E11</f>
        <v>225770.64521771474</v>
      </c>
      <c r="M22" s="66">
        <f>K22+L22-G11</f>
        <v>51262.412054794782</v>
      </c>
    </row>
    <row r="25" spans="3:13" x14ac:dyDescent="0.25">
      <c r="C25" t="s">
        <v>28</v>
      </c>
    </row>
  </sheetData>
  <mergeCells count="3">
    <mergeCell ref="J5:N5"/>
    <mergeCell ref="J16:M16"/>
    <mergeCell ref="C4:O4"/>
  </mergeCells>
  <conditionalFormatting sqref="D20:F22">
    <cfRule type="cellIs" dxfId="9" priority="2" operator="lessThan">
      <formula>0</formula>
    </cfRule>
  </conditionalFormatting>
  <conditionalFormatting sqref="I7:I11 N7:N11 M18:M22">
    <cfRule type="cellIs" dxfId="8" priority="1" operator="lessThan">
      <formula>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topLeftCell="C1" workbookViewId="0">
      <selection activeCell="C4" sqref="C4:O4"/>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s>
  <sheetData>
    <row r="2" spans="1:15" x14ac:dyDescent="0.25">
      <c r="B2" s="1"/>
    </row>
    <row r="4" spans="1:15" ht="77.25" customHeight="1" x14ac:dyDescent="0.25">
      <c r="C4" s="81" t="s">
        <v>56</v>
      </c>
      <c r="D4" s="81"/>
      <c r="E4" s="81"/>
      <c r="F4" s="81"/>
      <c r="G4" s="81"/>
      <c r="H4" s="81"/>
      <c r="I4" s="81"/>
      <c r="J4" s="81"/>
      <c r="K4" s="81"/>
      <c r="L4" s="81"/>
      <c r="M4" s="81"/>
      <c r="N4" s="81"/>
      <c r="O4" s="81"/>
    </row>
    <row r="5" spans="1:15" ht="40.5" customHeight="1" x14ac:dyDescent="0.25">
      <c r="C5" s="2" t="s">
        <v>44</v>
      </c>
      <c r="D5" s="2"/>
      <c r="E5" s="2"/>
      <c r="F5" s="2"/>
      <c r="G5" s="3"/>
      <c r="H5" s="4" t="s">
        <v>0</v>
      </c>
      <c r="I5" s="80" t="s">
        <v>1</v>
      </c>
      <c r="J5" s="80"/>
      <c r="K5" s="80"/>
      <c r="L5" s="80"/>
    </row>
    <row r="6" spans="1:15" ht="59.25" customHeight="1" x14ac:dyDescent="0.25">
      <c r="C6" s="5" t="s">
        <v>29</v>
      </c>
      <c r="D6" s="5" t="s">
        <v>30</v>
      </c>
      <c r="E6" s="5" t="s">
        <v>31</v>
      </c>
      <c r="F6" s="5" t="s">
        <v>4</v>
      </c>
      <c r="G6" s="6" t="s">
        <v>5</v>
      </c>
      <c r="H6" s="7" t="s">
        <v>6</v>
      </c>
      <c r="I6" s="8" t="s">
        <v>7</v>
      </c>
      <c r="J6" s="8" t="s">
        <v>8</v>
      </c>
      <c r="K6" s="8" t="s">
        <v>34</v>
      </c>
      <c r="L6" s="8" t="s">
        <v>9</v>
      </c>
      <c r="M6" s="8" t="s">
        <v>10</v>
      </c>
    </row>
    <row r="7" spans="1:15" ht="15.75" thickBot="1" x14ac:dyDescent="0.3">
      <c r="A7" s="9"/>
      <c r="B7" s="9"/>
      <c r="C7" s="10" t="s">
        <v>11</v>
      </c>
      <c r="D7" s="11">
        <v>363024.58000000007</v>
      </c>
      <c r="E7" s="12">
        <v>13254</v>
      </c>
      <c r="F7" s="11">
        <f>187146.9100446-(0.110899268224112*187146.9100446)</f>
        <v>166392.45467025012</v>
      </c>
      <c r="G7" s="13">
        <f t="shared" ref="G7:G12" si="0">F7/E7</f>
        <v>12.554131180794487</v>
      </c>
      <c r="H7" s="14">
        <f>$G$12*E7-F7</f>
        <v>218.02218751684995</v>
      </c>
      <c r="I7" s="15">
        <f>E18</f>
        <v>4.7007449267916774</v>
      </c>
      <c r="J7" s="16">
        <f>I7*$D$14</f>
        <v>183000</v>
      </c>
      <c r="K7" s="16">
        <f>F7-J7</f>
        <v>-16607.545329749875</v>
      </c>
      <c r="L7" s="13">
        <f>(IF($E$18=INTERCEPT($F$7:$F$11,$E$7:$E$11)/$D$14,LINEST($K$7:$K$11,$E$7:$E$11),(SUM($K$7:$K$11)/(SUM($E$7:$E$11)))))*E7</f>
        <v>0</v>
      </c>
      <c r="M7" s="17">
        <f>J7+L7-F7</f>
        <v>16607.545329749875</v>
      </c>
    </row>
    <row r="8" spans="1:15" ht="16.5" thickTop="1" thickBot="1" x14ac:dyDescent="0.3">
      <c r="A8" s="9"/>
      <c r="B8" s="9"/>
      <c r="C8" s="10" t="s">
        <v>12</v>
      </c>
      <c r="D8" s="11">
        <v>497483.94999999972</v>
      </c>
      <c r="E8" s="12">
        <v>16894</v>
      </c>
      <c r="F8" s="11">
        <f>256149.9270734-(0.110899268224112*256149.9270734)</f>
        <v>227743.0876053003</v>
      </c>
      <c r="G8" s="13">
        <f t="shared" si="0"/>
        <v>13.480708393826228</v>
      </c>
      <c r="H8" s="14">
        <f>$G$12*E8-F8</f>
        <v>-15375.696928137535</v>
      </c>
      <c r="I8" s="18">
        <f>I7</f>
        <v>4.7007449267916774</v>
      </c>
      <c r="J8" s="16">
        <f>I8*$D$14</f>
        <v>183000</v>
      </c>
      <c r="K8" s="16">
        <f>F8-J8</f>
        <v>44743.087605300301</v>
      </c>
      <c r="L8" s="13">
        <f t="shared" ref="L8:L11" si="1">(IF($E$18=INTERCEPT($F$7:$F$11,$E$7:$E$11)/$D$14,LINEST($K$7:$K$11,$E$7:$E$11),(SUM($K$7:$K$11)/(SUM($E$7:$E$11)))))*E8</f>
        <v>0</v>
      </c>
      <c r="M8" s="17">
        <f>J8+L8-F8</f>
        <v>-44743.087605300301</v>
      </c>
    </row>
    <row r="9" spans="1:15" ht="16.5" thickTop="1" thickBot="1" x14ac:dyDescent="0.3">
      <c r="A9" s="9"/>
      <c r="B9" s="9"/>
      <c r="C9" s="10" t="s">
        <v>13</v>
      </c>
      <c r="D9" s="11">
        <v>530119.48000000056</v>
      </c>
      <c r="E9" s="12">
        <v>17251</v>
      </c>
      <c r="F9" s="11">
        <f>266950.5353454-(0.110899268224112*266950.5353454)</f>
        <v>237345.91632356017</v>
      </c>
      <c r="G9" s="13">
        <f t="shared" si="0"/>
        <v>13.758385967396682</v>
      </c>
      <c r="H9" s="14">
        <f>$G$12*E9-F9</f>
        <v>-20490.828329495125</v>
      </c>
      <c r="I9" s="18">
        <f>I8</f>
        <v>4.7007449267916774</v>
      </c>
      <c r="J9" s="16">
        <f>I9*$D$14</f>
        <v>183000</v>
      </c>
      <c r="K9" s="16">
        <f>F9-J9</f>
        <v>54345.916323560174</v>
      </c>
      <c r="L9" s="13">
        <f t="shared" si="1"/>
        <v>0</v>
      </c>
      <c r="M9" s="17">
        <f>J9+L9-F9</f>
        <v>-54345.916323560174</v>
      </c>
    </row>
    <row r="10" spans="1:15" ht="16.5" thickTop="1" thickBot="1" x14ac:dyDescent="0.3">
      <c r="A10" s="9"/>
      <c r="B10" s="9"/>
      <c r="C10" s="10" t="s">
        <v>14</v>
      </c>
      <c r="D10" s="11">
        <v>374443.86000000022</v>
      </c>
      <c r="E10" s="12">
        <v>11362</v>
      </c>
      <c r="F10" s="11">
        <f>188107.2821861-(0.110899268224112*188107.2821861)</f>
        <v>167246.32224403496</v>
      </c>
      <c r="G10" s="13">
        <f t="shared" si="0"/>
        <v>14.719796008100243</v>
      </c>
      <c r="H10" s="14">
        <f>$G$12*E10-F10</f>
        <v>-24419.384107778111</v>
      </c>
      <c r="I10" s="18">
        <f>I9</f>
        <v>4.7007449267916774</v>
      </c>
      <c r="J10" s="16">
        <f>I10*$D$14</f>
        <v>183000</v>
      </c>
      <c r="K10" s="16">
        <f>F10-J10</f>
        <v>-15753.677755965036</v>
      </c>
      <c r="L10" s="13">
        <f t="shared" si="1"/>
        <v>0</v>
      </c>
      <c r="M10" s="17">
        <f>J10+L10-F10</f>
        <v>15753.677755965036</v>
      </c>
    </row>
    <row r="11" spans="1:15" ht="16.5" thickTop="1" thickBot="1" x14ac:dyDescent="0.3">
      <c r="A11" s="9"/>
      <c r="B11" s="9"/>
      <c r="C11" s="10" t="s">
        <v>15</v>
      </c>
      <c r="D11" s="11">
        <v>262060.48000000004</v>
      </c>
      <c r="E11" s="12">
        <v>14028</v>
      </c>
      <c r="F11" s="11">
        <f>130775.0798097-(0.110899268224112*130775.0798097)</f>
        <v>116272.21915685442</v>
      </c>
      <c r="G11" s="13">
        <f t="shared" si="0"/>
        <v>8.2885813485068738</v>
      </c>
      <c r="H11" s="14">
        <f>$G$12*E11-F11</f>
        <v>60067.887177893965</v>
      </c>
      <c r="I11" s="18">
        <f>I10</f>
        <v>4.7007449267916774</v>
      </c>
      <c r="J11" s="16">
        <f>I11*$D$14</f>
        <v>183000</v>
      </c>
      <c r="K11" s="16">
        <f>F11-J11</f>
        <v>-66727.780843145578</v>
      </c>
      <c r="L11" s="13">
        <f t="shared" si="1"/>
        <v>0</v>
      </c>
      <c r="M11" s="17">
        <f>J11+L11-F11</f>
        <v>66727.780843145578</v>
      </c>
    </row>
    <row r="12" spans="1:15" ht="15.75" thickTop="1" x14ac:dyDescent="0.25">
      <c r="C12" s="20" t="s">
        <v>16</v>
      </c>
      <c r="D12" s="21">
        <f>AVERAGE(D7:D11)</f>
        <v>405426.47000000009</v>
      </c>
      <c r="E12" s="21">
        <f>AVERAGE(E7:E11)</f>
        <v>14557.8</v>
      </c>
      <c r="F12" s="21">
        <f>AVERAGE(F7:F11)</f>
        <v>183000</v>
      </c>
      <c r="G12" s="22">
        <f t="shared" si="0"/>
        <v>12.570580719614227</v>
      </c>
      <c r="H12" s="23"/>
      <c r="I12" s="24"/>
      <c r="J12" s="25"/>
      <c r="K12" s="25"/>
      <c r="L12" s="25"/>
      <c r="M12" s="26"/>
    </row>
    <row r="13" spans="1:15" ht="15.75" thickBot="1" x14ac:dyDescent="0.3">
      <c r="C13" s="27"/>
      <c r="D13" s="28"/>
      <c r="E13" s="28"/>
      <c r="F13" s="28"/>
      <c r="G13" s="74"/>
      <c r="H13" s="60"/>
      <c r="I13" s="19"/>
      <c r="J13" s="19"/>
      <c r="K13" s="19"/>
      <c r="L13" s="76"/>
    </row>
    <row r="14" spans="1:15" ht="15.75" thickBot="1" x14ac:dyDescent="0.3">
      <c r="C14" s="31" t="s">
        <v>17</v>
      </c>
      <c r="D14" s="32">
        <v>38930</v>
      </c>
      <c r="E14" s="33" t="s">
        <v>18</v>
      </c>
      <c r="F14" s="32">
        <f>E12</f>
        <v>14557.8</v>
      </c>
      <c r="G14" s="75"/>
      <c r="H14" s="59"/>
      <c r="I14" s="30"/>
      <c r="J14" s="19"/>
      <c r="K14" s="19"/>
      <c r="L14" s="77"/>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IF(AND(INTERCEPT(F7:F11,E7:E11)&lt;AVERAGE(F7:F11),INTERCEPT(F7:F11,E7:E11)/D14&gt;0),(INTERCEPT(F7:F11,E7:E11))/D14,AVERAGE(F7:F11)/D14)</f>
        <v>4.7007449267916774</v>
      </c>
      <c r="F18" s="37">
        <v>6.0967355849874174</v>
      </c>
      <c r="G18" s="38"/>
      <c r="I18" s="39" t="s">
        <v>11</v>
      </c>
      <c r="J18" s="15">
        <f>F18</f>
        <v>6.0967355849874174</v>
      </c>
      <c r="K18" s="16">
        <f>J18*$D$14</f>
        <v>237345.91632356017</v>
      </c>
      <c r="L18" s="16">
        <f>(IF($E$18=INTERCEPT($F$7:$F$11,$E$7:$E$11)/$D$14,LINEST($K$7:$K$11,$E$7:$E$11),(SUM($K$7:$K$11)/(SUM($E$7:$E$11)))))*E7</f>
        <v>0</v>
      </c>
      <c r="M18" s="17">
        <f>K18+L18-F7</f>
        <v>70953.461653310049</v>
      </c>
    </row>
    <row r="19" spans="3:13" ht="30.75" thickBot="1" x14ac:dyDescent="0.3">
      <c r="C19" s="36" t="s">
        <v>27</v>
      </c>
      <c r="D19" s="37">
        <f>G12</f>
        <v>12.570580719614227</v>
      </c>
      <c r="E19" s="37">
        <f>IF(E18=INTERCEPT(F7:F11,E7:E11)/D14,LINEST(M7:M11,E7:E11),(SUM(M7:M11)/(SUM(E7:E11))))</f>
        <v>0</v>
      </c>
      <c r="F19" s="37">
        <f>E19</f>
        <v>0</v>
      </c>
      <c r="G19" s="40"/>
      <c r="H19" s="40"/>
      <c r="I19" s="39" t="s">
        <v>12</v>
      </c>
      <c r="J19" s="15">
        <f>J18</f>
        <v>6.0967355849874174</v>
      </c>
      <c r="K19" s="16">
        <f>J19*$D$14</f>
        <v>237345.91632356017</v>
      </c>
      <c r="L19" s="16">
        <f t="shared" ref="L19:L22" si="2">(IF($E$18=INTERCEPT($F$7:$F$11,$E$7:$E$11)/$D$14,LINEST($K$7:$K$11,$E$7:$E$11),(SUM($K$7:$K$11)/(SUM($E$7:$E$11)))))*E8</f>
        <v>0</v>
      </c>
      <c r="M19" s="17">
        <f>K19+L19-F8</f>
        <v>9602.8287182598724</v>
      </c>
    </row>
    <row r="20" spans="3:13" ht="45.75" thickBot="1" x14ac:dyDescent="0.3">
      <c r="C20" s="41" t="s">
        <v>36</v>
      </c>
      <c r="D20" s="42">
        <f>MIN(H7:H11)</f>
        <v>-24419.384107778111</v>
      </c>
      <c r="E20" s="42">
        <f>MIN(M7:M11)</f>
        <v>-54345.916323560174</v>
      </c>
      <c r="F20" s="42">
        <f>MIN(M18:M22)</f>
        <v>0</v>
      </c>
      <c r="G20" s="40"/>
      <c r="H20" s="40"/>
      <c r="I20" s="39" t="s">
        <v>13</v>
      </c>
      <c r="J20" s="15">
        <f>J19</f>
        <v>6.0967355849874174</v>
      </c>
      <c r="K20" s="16">
        <f>J20*$D$14</f>
        <v>237345.91632356017</v>
      </c>
      <c r="L20" s="16">
        <f t="shared" si="2"/>
        <v>0</v>
      </c>
      <c r="M20" s="17">
        <f>K20+L20-F9</f>
        <v>0</v>
      </c>
    </row>
    <row r="21" spans="3:13" ht="45.75" thickBot="1" x14ac:dyDescent="0.3">
      <c r="C21" s="36" t="s">
        <v>38</v>
      </c>
      <c r="D21" s="42">
        <f>MAX(H7:H11)</f>
        <v>60067.887177893965</v>
      </c>
      <c r="E21" s="43">
        <f>MAX(M7:M11)</f>
        <v>66727.780843145578</v>
      </c>
      <c r="F21" s="43">
        <f>MAX(M18:M22)</f>
        <v>121073.69716670575</v>
      </c>
      <c r="I21" s="39" t="s">
        <v>14</v>
      </c>
      <c r="J21" s="15">
        <f>J20</f>
        <v>6.0967355849874174</v>
      </c>
      <c r="K21" s="16">
        <f>J21*$D$14</f>
        <v>237345.91632356017</v>
      </c>
      <c r="L21" s="16">
        <f t="shared" si="2"/>
        <v>0</v>
      </c>
      <c r="M21" s="17">
        <f>K21+L21-F10</f>
        <v>70099.59407952521</v>
      </c>
    </row>
    <row r="22" spans="3:13" ht="45.75" thickBot="1" x14ac:dyDescent="0.3">
      <c r="C22" s="36" t="s">
        <v>37</v>
      </c>
      <c r="D22" s="43">
        <f>AVERAGE(H7:H11)</f>
        <v>0</v>
      </c>
      <c r="E22" s="43">
        <f>AVERAGE(M7:M11)</f>
        <v>0</v>
      </c>
      <c r="F22" s="43">
        <f>AVERAGE(M18:M22)</f>
        <v>54345.916323560174</v>
      </c>
      <c r="I22" s="44" t="s">
        <v>15</v>
      </c>
      <c r="J22" s="45">
        <f>J21</f>
        <v>6.0967355849874174</v>
      </c>
      <c r="K22" s="46">
        <f>J22*$D$14</f>
        <v>237345.91632356017</v>
      </c>
      <c r="L22" s="46">
        <f t="shared" si="2"/>
        <v>0</v>
      </c>
      <c r="M22" s="47">
        <f>K22+L22-F11</f>
        <v>121073.69716670575</v>
      </c>
    </row>
    <row r="25" spans="3:13" x14ac:dyDescent="0.25">
      <c r="C25" t="s">
        <v>28</v>
      </c>
    </row>
  </sheetData>
  <mergeCells count="3">
    <mergeCell ref="I5:L5"/>
    <mergeCell ref="J16:M16"/>
    <mergeCell ref="C4:O4"/>
  </mergeCells>
  <conditionalFormatting sqref="D20:F22">
    <cfRule type="cellIs" dxfId="7" priority="2" operator="lessThan">
      <formula>0</formula>
    </cfRule>
  </conditionalFormatting>
  <conditionalFormatting sqref="H7:H11 M7:M11 M18:M22">
    <cfRule type="cellIs" dxfId="6" priority="1" operator="lessThan">
      <formula>0</formula>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workbookViewId="0">
      <selection activeCell="A4" sqref="A4"/>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 min="14" max="14" width="10.5703125" bestFit="1" customWidth="1"/>
  </cols>
  <sheetData>
    <row r="2" spans="1:15" x14ac:dyDescent="0.25">
      <c r="B2" s="1"/>
    </row>
    <row r="4" spans="1:15" ht="77.25" customHeight="1" x14ac:dyDescent="0.25">
      <c r="C4" s="81" t="s">
        <v>56</v>
      </c>
      <c r="D4" s="81"/>
      <c r="E4" s="81"/>
      <c r="F4" s="81"/>
      <c r="G4" s="81"/>
      <c r="H4" s="81"/>
      <c r="I4" s="81"/>
      <c r="J4" s="81"/>
      <c r="K4" s="81"/>
      <c r="L4" s="81"/>
      <c r="M4" s="81"/>
      <c r="N4" s="81"/>
      <c r="O4" s="81"/>
    </row>
    <row r="5" spans="1:15" ht="40.5" customHeight="1" x14ac:dyDescent="0.25">
      <c r="C5" s="2" t="s">
        <v>45</v>
      </c>
      <c r="D5" s="2"/>
      <c r="E5" s="2"/>
      <c r="F5" s="2"/>
      <c r="G5" s="2"/>
      <c r="H5" s="3"/>
      <c r="I5" s="4" t="s">
        <v>0</v>
      </c>
      <c r="J5" s="79" t="s">
        <v>1</v>
      </c>
      <c r="K5" s="80"/>
      <c r="L5" s="80"/>
      <c r="M5" s="80"/>
      <c r="N5" s="80"/>
    </row>
    <row r="6" spans="1:15" ht="59.25" customHeight="1" x14ac:dyDescent="0.25">
      <c r="C6" s="5" t="s">
        <v>2</v>
      </c>
      <c r="D6" s="5" t="s">
        <v>30</v>
      </c>
      <c r="E6" s="5" t="s">
        <v>31</v>
      </c>
      <c r="F6" s="5" t="s">
        <v>33</v>
      </c>
      <c r="G6" s="5" t="s">
        <v>4</v>
      </c>
      <c r="H6" s="6" t="s">
        <v>5</v>
      </c>
      <c r="I6" s="7" t="s">
        <v>6</v>
      </c>
      <c r="J6" s="8" t="s">
        <v>7</v>
      </c>
      <c r="K6" s="8" t="s">
        <v>8</v>
      </c>
      <c r="L6" s="8" t="s">
        <v>34</v>
      </c>
      <c r="M6" s="8" t="s">
        <v>9</v>
      </c>
      <c r="N6" s="8" t="s">
        <v>10</v>
      </c>
    </row>
    <row r="7" spans="1:15" ht="15.75" thickBot="1" x14ac:dyDescent="0.3">
      <c r="A7" s="9"/>
      <c r="B7" s="9"/>
      <c r="C7" s="10" t="s">
        <v>11</v>
      </c>
      <c r="D7" s="11">
        <v>386344.70850000001</v>
      </c>
      <c r="E7" s="12">
        <v>20628</v>
      </c>
      <c r="F7" s="12">
        <f>4000.64134+(-0.0856392903768519*4000.64134)</f>
        <v>3658.029254590102</v>
      </c>
      <c r="G7" s="11">
        <f>473834.349807529+(-0.0856392903768519*473834.349807529)</f>
        <v>433255.51233383524</v>
      </c>
      <c r="H7" s="13">
        <f t="shared" ref="H7:H12" si="0">G7/E7</f>
        <v>21.003272849226065</v>
      </c>
      <c r="I7" s="14">
        <f>$H$12*E7-G7</f>
        <v>9481.8361285752617</v>
      </c>
      <c r="J7" s="15">
        <f>E18</f>
        <v>0.39796994528341462</v>
      </c>
      <c r="K7" s="16">
        <f>J7*$D$14</f>
        <v>20885.064758528315</v>
      </c>
      <c r="L7" s="16">
        <f>G7-K7</f>
        <v>412370.44757530693</v>
      </c>
      <c r="M7" s="16">
        <f>(IF($E$18=INTERCEPT($G$7:$G$11,$E$7:$E$11)/$D$14,LINEST($L$7:$L$11,$E$7:$E$11),(SUM($L$7:$L$11)/(SUM($E$7:$E$11)))))*E7</f>
        <v>359082.78781093721</v>
      </c>
      <c r="N7" s="17">
        <f>K7+M7-G7</f>
        <v>-53287.659764369717</v>
      </c>
    </row>
    <row r="8" spans="1:15" ht="16.5" thickTop="1" thickBot="1" x14ac:dyDescent="0.3">
      <c r="A8" s="9"/>
      <c r="B8" s="9"/>
      <c r="C8" s="10" t="s">
        <v>12</v>
      </c>
      <c r="D8" s="11">
        <v>459759.5085</v>
      </c>
      <c r="E8" s="12">
        <v>20429</v>
      </c>
      <c r="F8" s="12">
        <f>4000.64134+(-0.0856392903768519*4000.64134)</f>
        <v>3658.029254590102</v>
      </c>
      <c r="G8" s="11">
        <f>569333.457479529+(-0.0856392903768519*569333.457479529)</f>
        <v>520576.14419318252</v>
      </c>
      <c r="H8" s="13">
        <f t="shared" si="0"/>
        <v>25.482213725252461</v>
      </c>
      <c r="I8" s="14">
        <f>$H$12*E8-G8</f>
        <v>-82109.919074965292</v>
      </c>
      <c r="J8" s="18">
        <f>I7</f>
        <v>9481.8361285752617</v>
      </c>
      <c r="K8" s="16">
        <f>J8*$D$14</f>
        <v>497597278.19150114</v>
      </c>
      <c r="L8" s="16">
        <f>F8-J8</f>
        <v>-5823.8068739851597</v>
      </c>
      <c r="M8" s="16">
        <f>(IF($E$18=INTERCEPT($G$7:$G$11,$E$7:$E$11)/$D$14,LINEST($L$7:$L$11,$E$7:$E$11),(SUM($L$7:$L$11)/(SUM($E$7:$E$11)))))*D8</f>
        <v>8003283.2089764532</v>
      </c>
      <c r="N8" s="17">
        <f>K8+M8-G8</f>
        <v>505079985.25628442</v>
      </c>
    </row>
    <row r="9" spans="1:15" ht="16.5" thickTop="1" thickBot="1" x14ac:dyDescent="0.3">
      <c r="A9" s="9"/>
      <c r="B9" s="9"/>
      <c r="C9" s="10" t="s">
        <v>13</v>
      </c>
      <c r="D9" s="11">
        <v>421942.5085</v>
      </c>
      <c r="E9" s="12">
        <v>24964</v>
      </c>
      <c r="F9" s="12">
        <f>3940.42554+(-0.0856392903768519*3940.42554)</f>
        <v>3602.9702929715768</v>
      </c>
      <c r="G9" s="11">
        <f>515738.393949529+(-0.0856392903768519*515738.393949529)</f>
        <v>471570.92387159402</v>
      </c>
      <c r="H9" s="13">
        <f t="shared" si="0"/>
        <v>18.890038610462828</v>
      </c>
      <c r="I9" s="14">
        <f>$H$12*E9-G9</f>
        <v>64229.695045199478</v>
      </c>
      <c r="J9" s="18">
        <f>I8</f>
        <v>-82109.919074965292</v>
      </c>
      <c r="K9" s="16">
        <f>J9*$D$14</f>
        <v>-4309046443.1351032</v>
      </c>
      <c r="L9" s="16">
        <f>F9-J9</f>
        <v>85712.889367936863</v>
      </c>
      <c r="M9" s="16">
        <f>(IF($E$18=INTERCEPT($G$7:$G$11,$E$7:$E$11)/$D$14,LINEST($L$7:$L$11,$E$7:$E$11),(SUM($L$7:$L$11)/(SUM($E$7:$E$11)))))*D9</f>
        <v>7344982.1721989559</v>
      </c>
      <c r="N9" s="17">
        <f>K9+M9-G9</f>
        <v>-4302173031.886776</v>
      </c>
    </row>
    <row r="10" spans="1:15" ht="16.5" thickTop="1" thickBot="1" x14ac:dyDescent="0.3">
      <c r="A10" s="9"/>
      <c r="B10" s="9"/>
      <c r="C10" s="10" t="s">
        <v>14</v>
      </c>
      <c r="D10" s="11">
        <v>324507.5085</v>
      </c>
      <c r="E10" s="12">
        <v>12954</v>
      </c>
      <c r="F10" s="12">
        <f>4078.30774+(-0.0856392903768519*4078.30774)</f>
        <v>3729.0443592079773</v>
      </c>
      <c r="G10" s="11">
        <f>267422.037089529+(-0.0856392903768519*267422.037089529)</f>
        <v>244520.20360204956</v>
      </c>
      <c r="H10" s="13">
        <f t="shared" si="0"/>
        <v>18.876038567396137</v>
      </c>
      <c r="I10" s="14">
        <f>$H$12*E10-G10</f>
        <v>33510.609466695169</v>
      </c>
      <c r="J10" s="18">
        <f>I9</f>
        <v>64229.695045199478</v>
      </c>
      <c r="K10" s="16">
        <f>J10*$D$14</f>
        <v>3370710166.2770233</v>
      </c>
      <c r="L10" s="16">
        <f>F10-J10</f>
        <v>-60500.650685991503</v>
      </c>
      <c r="M10" s="16">
        <f>(IF($E$18=INTERCEPT($G$7:$G$11,$E$7:$E$11)/$D$14,LINEST($L$7:$L$11,$E$7:$E$11),(SUM($L$7:$L$11)/(SUM($E$7:$E$11)))))*D10</f>
        <v>5648878.263416783</v>
      </c>
      <c r="N10" s="17">
        <f>K10+M10-G10</f>
        <v>3376114524.3368382</v>
      </c>
    </row>
    <row r="11" spans="1:15" ht="16.5" thickTop="1" thickBot="1" x14ac:dyDescent="0.3">
      <c r="A11" s="9"/>
      <c r="B11" s="9"/>
      <c r="C11" s="10" t="s">
        <v>15</v>
      </c>
      <c r="D11" s="11">
        <v>456914.5085</v>
      </c>
      <c r="E11" s="12">
        <v>18938</v>
      </c>
      <c r="F11" s="12">
        <f>3994.60062+(-0.0856392903768519*3994.60062)</f>
        <v>3652.5058575642674</v>
      </c>
      <c r="G11" s="11">
        <f>471998.863749529+(-0.0856392903768519*471998.863749529)</f>
        <v>431577.21599933895</v>
      </c>
      <c r="H11" s="13">
        <f t="shared" si="0"/>
        <v>22.788954271799501</v>
      </c>
      <c r="I11" s="14">
        <f>$H$12*E11-G11</f>
        <v>-25112.221565504791</v>
      </c>
      <c r="J11" s="18">
        <f>I10</f>
        <v>33510.609466695169</v>
      </c>
      <c r="K11" s="16">
        <f>J11*$D$14</f>
        <v>1758603274.2026958</v>
      </c>
      <c r="L11" s="16">
        <f>F11-J11</f>
        <v>-29858.1036091309</v>
      </c>
      <c r="M11" s="16">
        <f>(IF($E$18=INTERCEPT($G$7:$G$11,$E$7:$E$11)/$D$14,LINEST($L$7:$L$11,$E$7:$E$11),(SUM($L$7:$L$11)/(SUM($E$7:$E$11)))))*D11</f>
        <v>7953758.7504093545</v>
      </c>
      <c r="N11" s="17">
        <f>K11+M11-G11</f>
        <v>1766125455.7371058</v>
      </c>
    </row>
    <row r="12" spans="1:15" ht="15.75" thickTop="1" x14ac:dyDescent="0.25">
      <c r="C12" s="20" t="s">
        <v>16</v>
      </c>
      <c r="D12" s="21">
        <f>AVERAGE(D7:D11)</f>
        <v>409893.74849999999</v>
      </c>
      <c r="E12" s="21">
        <f>AVERAGE(E7:E11)</f>
        <v>19582.599999999999</v>
      </c>
      <c r="F12" s="21">
        <f>AVERAGE(E7:E11)</f>
        <v>19582.599999999999</v>
      </c>
      <c r="G12" s="21">
        <f>AVERAGE(G7:G11)</f>
        <v>420300</v>
      </c>
      <c r="H12" s="22">
        <f t="shared" si="0"/>
        <v>21.462931377855853</v>
      </c>
      <c r="I12" s="23"/>
      <c r="J12" s="24"/>
      <c r="K12" s="25"/>
      <c r="L12" s="25"/>
      <c r="M12" s="25"/>
      <c r="N12" s="26"/>
    </row>
    <row r="13" spans="1:15" ht="15.75" thickBot="1" x14ac:dyDescent="0.3">
      <c r="C13" s="27"/>
      <c r="D13" s="28"/>
      <c r="E13" s="28"/>
      <c r="F13" s="28"/>
      <c r="G13" s="28"/>
      <c r="H13" s="30"/>
      <c r="I13" s="19"/>
      <c r="J13" s="19"/>
      <c r="K13" s="19"/>
      <c r="L13" s="19"/>
    </row>
    <row r="14" spans="1:15" ht="15.75" thickBot="1" x14ac:dyDescent="0.3">
      <c r="C14" s="31" t="s">
        <v>17</v>
      </c>
      <c r="D14" s="32">
        <v>52479</v>
      </c>
      <c r="E14" s="33" t="s">
        <v>18</v>
      </c>
      <c r="F14" s="32">
        <f>E12</f>
        <v>19582.599999999999</v>
      </c>
      <c r="G14" s="75"/>
      <c r="H14" s="59"/>
      <c r="I14" s="30"/>
      <c r="J14" s="19"/>
      <c r="K14" s="19"/>
      <c r="L14" s="19"/>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0.39796994528341462</v>
      </c>
      <c r="F18" s="37">
        <v>4.0385063747263157</v>
      </c>
      <c r="G18" s="38"/>
      <c r="I18" s="39" t="s">
        <v>11</v>
      </c>
      <c r="J18" s="15">
        <f>F18</f>
        <v>4.0385063747263157</v>
      </c>
      <c r="K18" s="16">
        <f>J18*$D$14</f>
        <v>211936.77603926233</v>
      </c>
      <c r="L18" s="16">
        <f>(IF($E$18=INTERCEPT($G$7:$G$11,$E$7:$E$11)/$D$14,LINEST($L$7:$L$11,$E$7:$E$11),(SUM($L$7:$L$11)/(SUM($E$7:$E$11)))))*E7</f>
        <v>359082.78781093721</v>
      </c>
      <c r="M18" s="17">
        <f>K18+L18-G7</f>
        <v>137764.05151636433</v>
      </c>
    </row>
    <row r="19" spans="3:13" ht="30.75" thickBot="1" x14ac:dyDescent="0.3">
      <c r="C19" s="36" t="s">
        <v>27</v>
      </c>
      <c r="D19" s="37">
        <f>H12</f>
        <v>21.462931377855853</v>
      </c>
      <c r="E19" s="37">
        <f>IF(E18=INTERCEPT(G7:G11,E7:E11)/D14,LINEST(L7:L11,E7:E11),(SUM(L7:L11)/(SUM(E7:E11))))</f>
        <v>17.407542554340566</v>
      </c>
      <c r="F19" s="37">
        <f>E19</f>
        <v>17.407542554340566</v>
      </c>
      <c r="G19" s="40"/>
      <c r="H19" s="40"/>
      <c r="I19" s="39" t="s">
        <v>12</v>
      </c>
      <c r="J19" s="15">
        <f>J18</f>
        <v>4.0385063747263157</v>
      </c>
      <c r="K19" s="16">
        <f>J19*$D$14</f>
        <v>211936.77603926233</v>
      </c>
      <c r="L19" s="16">
        <f>(IF($E$18=INTERCEPT($G$7:$G$11,$E$7:$E$11)/$D$14,LINEST($L$7:$L$11,$E$7:$E$11),(SUM($L$7:$L$11)/(SUM($E$7:$E$11)))))*E8</f>
        <v>355618.6868426234</v>
      </c>
      <c r="M19" s="17">
        <f>K19+L19-G8</f>
        <v>46979.318688703177</v>
      </c>
    </row>
    <row r="20" spans="3:13" ht="45.75" thickBot="1" x14ac:dyDescent="0.3">
      <c r="C20" s="41" t="s">
        <v>36</v>
      </c>
      <c r="D20" s="42">
        <f>MIN(I7:I11)</f>
        <v>-82109.919074965292</v>
      </c>
      <c r="E20" s="42">
        <f>MIN(N7:N11)</f>
        <v>-4302173031.886776</v>
      </c>
      <c r="F20" s="42">
        <f>MIN(M18:M22)</f>
        <v>46979.318688703177</v>
      </c>
      <c r="G20" s="40"/>
      <c r="H20" s="40"/>
      <c r="I20" s="39" t="s">
        <v>13</v>
      </c>
      <c r="J20" s="15">
        <f>J19</f>
        <v>4.0385063747263157</v>
      </c>
      <c r="K20" s="16">
        <f>J20*$D$14</f>
        <v>211936.77603926233</v>
      </c>
      <c r="L20" s="16">
        <f>(IF($E$18=INTERCEPT($G$7:$G$11,$E$7:$E$11)/$D$14,LINEST($L$7:$L$11,$E$7:$E$11),(SUM($L$7:$L$11)/(SUM($E$7:$E$11)))))*E9</f>
        <v>434561.89232655789</v>
      </c>
      <c r="M20" s="17">
        <f>K20+L20-G9</f>
        <v>174927.74449422618</v>
      </c>
    </row>
    <row r="21" spans="3:13" ht="45.75" thickBot="1" x14ac:dyDescent="0.3">
      <c r="C21" s="36" t="s">
        <v>38</v>
      </c>
      <c r="D21" s="42">
        <f>MAX(I7:I11)</f>
        <v>64229.695045199478</v>
      </c>
      <c r="E21" s="43">
        <f>MAX(N7:N11)</f>
        <v>3376114524.3368382</v>
      </c>
      <c r="F21" s="43">
        <f>MAX(M18:M22)</f>
        <v>192913.87868614047</v>
      </c>
      <c r="I21" s="39" t="s">
        <v>14</v>
      </c>
      <c r="J21" s="15">
        <f>J20</f>
        <v>4.0385063747263157</v>
      </c>
      <c r="K21" s="16">
        <f>J21*$D$14</f>
        <v>211936.77603926233</v>
      </c>
      <c r="L21" s="16">
        <f>(IF($E$18=INTERCEPT($G$7:$G$11,$E$7:$E$11)/$D$14,LINEST($L$7:$L$11,$E$7:$E$11),(SUM($L$7:$L$11)/(SUM($E$7:$E$11)))))*E10</f>
        <v>225497.30624892769</v>
      </c>
      <c r="M21" s="17">
        <f>K21+L21-G10</f>
        <v>192913.87868614047</v>
      </c>
    </row>
    <row r="22" spans="3:13" ht="45.75" thickBot="1" x14ac:dyDescent="0.3">
      <c r="C22" s="36" t="s">
        <v>37</v>
      </c>
      <c r="D22" s="43">
        <f>AVERAGE(I7:I11)</f>
        <v>-3.4924596548080443E-11</v>
      </c>
      <c r="E22" s="43">
        <f>AVERAGE(N7:N11)</f>
        <v>269018729.15673763</v>
      </c>
      <c r="F22" s="43">
        <f>AVERAGE(M18:M22)</f>
        <v>132521.71886389182</v>
      </c>
      <c r="I22" s="44" t="s">
        <v>15</v>
      </c>
      <c r="J22" s="45">
        <f>J21</f>
        <v>4.0385063747263157</v>
      </c>
      <c r="K22" s="46">
        <f>J22*$D$14</f>
        <v>211936.77603926233</v>
      </c>
      <c r="L22" s="46">
        <f>(IF($E$18=INTERCEPT($G$7:$G$11,$E$7:$E$11)/$D$14,LINEST($L$7:$L$11,$E$7:$E$11),(SUM($L$7:$L$11)/(SUM($E$7:$E$11)))))*E11</f>
        <v>329664.04089410161</v>
      </c>
      <c r="M22" s="47">
        <f>K22+L22-G11</f>
        <v>110023.60093402496</v>
      </c>
    </row>
    <row r="25" spans="3:13" x14ac:dyDescent="0.25">
      <c r="C25" t="s">
        <v>28</v>
      </c>
    </row>
  </sheetData>
  <mergeCells count="3">
    <mergeCell ref="J5:N5"/>
    <mergeCell ref="J16:M16"/>
    <mergeCell ref="C4:O4"/>
  </mergeCells>
  <conditionalFormatting sqref="D20:F22">
    <cfRule type="cellIs" dxfId="5" priority="2" operator="lessThan">
      <formula>0</formula>
    </cfRule>
  </conditionalFormatting>
  <conditionalFormatting sqref="I7:I11 N7:N11 M18:M22">
    <cfRule type="cellIs" dxfId="4" priority="1" operator="lessThan">
      <formula>0</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workbookViewId="0">
      <selection activeCell="C4" sqref="C4:O4"/>
    </sheetView>
  </sheetViews>
  <sheetFormatPr defaultRowHeight="15" x14ac:dyDescent="0.25"/>
  <cols>
    <col min="1" max="1" width="10.7109375" bestFit="1" customWidth="1"/>
    <col min="2" max="2" width="9.7109375" bestFit="1" customWidth="1"/>
    <col min="3" max="3" width="16.140625" customWidth="1"/>
    <col min="4" max="4" width="14.5703125" customWidth="1"/>
    <col min="5" max="5" width="17.42578125" customWidth="1"/>
    <col min="6" max="6" width="14.85546875" customWidth="1"/>
    <col min="7" max="7" width="13.7109375" customWidth="1"/>
    <col min="8" max="8" width="15.28515625" customWidth="1"/>
    <col min="9" max="9" width="25.42578125" customWidth="1"/>
    <col min="10" max="10" width="12.140625" customWidth="1"/>
    <col min="11" max="11" width="14.7109375" customWidth="1"/>
    <col min="12" max="12" width="16.85546875" customWidth="1"/>
    <col min="13" max="13" width="21.140625" bestFit="1" customWidth="1"/>
  </cols>
  <sheetData>
    <row r="2" spans="1:15" x14ac:dyDescent="0.25">
      <c r="B2" s="1"/>
    </row>
    <row r="4" spans="1:15" ht="75" customHeight="1" x14ac:dyDescent="0.25">
      <c r="C4" s="81" t="s">
        <v>56</v>
      </c>
      <c r="D4" s="81"/>
      <c r="E4" s="81"/>
      <c r="F4" s="81"/>
      <c r="G4" s="81"/>
      <c r="H4" s="81"/>
      <c r="I4" s="81"/>
      <c r="J4" s="81"/>
      <c r="K4" s="81"/>
      <c r="L4" s="81"/>
      <c r="M4" s="81"/>
      <c r="N4" s="81"/>
      <c r="O4" s="81"/>
    </row>
    <row r="5" spans="1:15" ht="40.5" customHeight="1" x14ac:dyDescent="0.25">
      <c r="C5" s="2" t="s">
        <v>46</v>
      </c>
      <c r="D5" s="2"/>
      <c r="E5" s="2"/>
      <c r="F5" s="2"/>
      <c r="G5" s="2"/>
      <c r="H5" s="3"/>
      <c r="I5" s="4" t="s">
        <v>0</v>
      </c>
      <c r="J5" s="79" t="s">
        <v>1</v>
      </c>
      <c r="K5" s="80"/>
      <c r="L5" s="80"/>
      <c r="M5" s="80"/>
      <c r="N5" s="80"/>
    </row>
    <row r="6" spans="1:15" ht="59.25" customHeight="1" x14ac:dyDescent="0.25">
      <c r="C6" s="5" t="s">
        <v>2</v>
      </c>
      <c r="D6" s="5" t="s">
        <v>35</v>
      </c>
      <c r="E6" s="5" t="s">
        <v>31</v>
      </c>
      <c r="F6" s="5" t="s">
        <v>33</v>
      </c>
      <c r="G6" s="5" t="s">
        <v>4</v>
      </c>
      <c r="H6" s="6" t="s">
        <v>5</v>
      </c>
      <c r="I6" s="7" t="s">
        <v>6</v>
      </c>
      <c r="J6" s="8" t="s">
        <v>7</v>
      </c>
      <c r="K6" s="8" t="s">
        <v>8</v>
      </c>
      <c r="L6" s="8" t="s">
        <v>34</v>
      </c>
      <c r="M6" s="8" t="s">
        <v>9</v>
      </c>
      <c r="N6" s="8" t="s">
        <v>10</v>
      </c>
    </row>
    <row r="7" spans="1:15" ht="15.75" thickBot="1" x14ac:dyDescent="0.3">
      <c r="A7" s="9"/>
      <c r="B7" s="9"/>
      <c r="C7" s="10" t="s">
        <v>11</v>
      </c>
      <c r="D7" s="11">
        <v>30821</v>
      </c>
      <c r="E7" s="12">
        <v>6546</v>
      </c>
      <c r="F7" s="12">
        <f>1003.239+(1.36891999280361*1003.239)</f>
        <v>2376.5929246603009</v>
      </c>
      <c r="G7" s="11">
        <f>9286.38275+(1.36891999280361*9286.38275)</f>
        <v>21998.697757301568</v>
      </c>
      <c r="H7" s="13">
        <f t="shared" ref="H7:H12" si="0">G7/E7</f>
        <v>3.3606321046901266</v>
      </c>
      <c r="I7" s="14">
        <f>$H$12*E7-G7</f>
        <v>1610.6009082284581</v>
      </c>
      <c r="J7" s="15">
        <f>E18</f>
        <v>1.4927026378789923</v>
      </c>
      <c r="K7" s="16">
        <f>J7*$D$14</f>
        <v>21993.480666509073</v>
      </c>
      <c r="L7" s="16">
        <f>G7-K7</f>
        <v>5.2170907924955827</v>
      </c>
      <c r="M7" s="16">
        <f>(IF($E$18=INTERCEPT($G$7:$G$11,$E$7:$E$11)/$D$14,LINEST($L$7:$L$11,$E$7:$E$11),(SUM($L$7:$L$11)/(SUM($E$7:$E$11)))))*E7</f>
        <v>6.9962223403541612</v>
      </c>
      <c r="N7" s="17">
        <f>K7+M7-G7</f>
        <v>1.779131547857105</v>
      </c>
    </row>
    <row r="8" spans="1:15" ht="16.5" thickTop="1" thickBot="1" x14ac:dyDescent="0.3">
      <c r="A8" s="9"/>
      <c r="B8" s="9"/>
      <c r="C8" s="10" t="s">
        <v>12</v>
      </c>
      <c r="D8" s="11">
        <v>30821</v>
      </c>
      <c r="E8" s="12">
        <v>5491</v>
      </c>
      <c r="F8" s="12">
        <f>1003.239+(1.36891999280361*1003.239)</f>
        <v>2376.5929246603009</v>
      </c>
      <c r="G8" s="11">
        <f>9286.38275+(1.36891999280361*9286.38275)</f>
        <v>21998.697757301568</v>
      </c>
      <c r="H8" s="13">
        <f t="shared" si="0"/>
        <v>4.0063190233657924</v>
      </c>
      <c r="I8" s="14">
        <f>$H$12*E8-G8</f>
        <v>-2194.4418800596832</v>
      </c>
      <c r="J8" s="18">
        <f>J7</f>
        <v>1.4927026378789923</v>
      </c>
      <c r="K8" s="16">
        <f>J8*$D$14</f>
        <v>21993.480666509073</v>
      </c>
      <c r="L8" s="16">
        <f>G8-K8</f>
        <v>5.2170907924955827</v>
      </c>
      <c r="M8" s="16">
        <f>(IF($E$18=INTERCEPT($G$7:$G$11,$E$7:$E$11)/$D$14,LINEST($L$7:$L$11,$E$7:$E$11),(SUM($L$7:$L$11)/(SUM($E$7:$E$11)))))*E8</f>
        <v>5.8686613001657042</v>
      </c>
      <c r="N8" s="17">
        <f>K8+M8-G8</f>
        <v>0.65157050767084002</v>
      </c>
    </row>
    <row r="9" spans="1:15" ht="16.5" thickTop="1" thickBot="1" x14ac:dyDescent="0.3">
      <c r="A9" s="9"/>
      <c r="B9" s="9"/>
      <c r="C9" s="10" t="s">
        <v>13</v>
      </c>
      <c r="D9" s="11">
        <v>30821</v>
      </c>
      <c r="E9" s="12">
        <v>6635</v>
      </c>
      <c r="F9" s="12">
        <f>1005.9876+(1.36891999280361*1005.9876)</f>
        <v>2383.104138152521</v>
      </c>
      <c r="G9" s="11">
        <f>9289.13135+(1.36891999280361*9289.13135)</f>
        <v>22005.208970793785</v>
      </c>
      <c r="H9" s="13">
        <f t="shared" si="0"/>
        <v>3.3165348863291313</v>
      </c>
      <c r="I9" s="14">
        <f>$H$12*E9-G9</f>
        <v>1925.0838256913557</v>
      </c>
      <c r="J9" s="18">
        <f>J8</f>
        <v>1.4927026378789923</v>
      </c>
      <c r="K9" s="16">
        <f>J9*$D$14</f>
        <v>21993.480666509073</v>
      </c>
      <c r="L9" s="16">
        <f>G9-K9</f>
        <v>11.728304284712067</v>
      </c>
      <c r="M9" s="16">
        <f>(IF($E$18=INTERCEPT($G$7:$G$11,$E$7:$E$11)/$D$14,LINEST($L$7:$L$11,$E$7:$E$11),(SUM($L$7:$L$11)/(SUM($E$7:$E$11)))))*E9</f>
        <v>7.0913436034601069</v>
      </c>
      <c r="N9" s="17">
        <f>K9+M9-G9</f>
        <v>-4.6369606812513666</v>
      </c>
    </row>
    <row r="10" spans="1:15" ht="16.5" thickTop="1" thickBot="1" x14ac:dyDescent="0.3">
      <c r="A10" s="9"/>
      <c r="B10" s="9"/>
      <c r="C10" s="10" t="s">
        <v>14</v>
      </c>
      <c r="D10" s="11">
        <v>30821</v>
      </c>
      <c r="E10" s="12">
        <v>6994</v>
      </c>
      <c r="F10" s="12">
        <f>1003.239+(1.36891999280361*1003.239)</f>
        <v>2376.5929246603009</v>
      </c>
      <c r="G10" s="11">
        <f>9286.38275+(1.36891999280361*9286.38275)</f>
        <v>21998.697757301568</v>
      </c>
      <c r="H10" s="13">
        <f t="shared" si="0"/>
        <v>3.1453671371606475</v>
      </c>
      <c r="I10" s="14">
        <f>$H$12*E10-G10</f>
        <v>3226.3915898901541</v>
      </c>
      <c r="J10" s="18">
        <f>J9</f>
        <v>1.4927026378789923</v>
      </c>
      <c r="K10" s="16">
        <f>J10*$D$14</f>
        <v>21993.480666509073</v>
      </c>
      <c r="L10" s="16">
        <f>G10-K10</f>
        <v>5.2170907924955827</v>
      </c>
      <c r="M10" s="16">
        <f>(IF($E$18=INTERCEPT($G$7:$G$11,$E$7:$E$11)/$D$14,LINEST($L$7:$L$11,$E$7:$E$11),(SUM($L$7:$L$11)/(SUM($E$7:$E$11)))))*E10</f>
        <v>7.4750349905953257</v>
      </c>
      <c r="N10" s="17">
        <f>K10+M10-G10</f>
        <v>2.2579441980997217</v>
      </c>
    </row>
    <row r="11" spans="1:15" ht="16.5" thickTop="1" thickBot="1" x14ac:dyDescent="0.3">
      <c r="A11" s="9"/>
      <c r="B11" s="9"/>
      <c r="C11" s="10" t="s">
        <v>15</v>
      </c>
      <c r="D11" s="11">
        <v>30821</v>
      </c>
      <c r="E11" s="12">
        <v>4833</v>
      </c>
      <c r="F11" s="12">
        <f>1003.239+(1.36891999280361*1003.239)</f>
        <v>2376.5929246603009</v>
      </c>
      <c r="G11" s="11">
        <f>9286.38275+(1.36891999280361*9286.38275)</f>
        <v>21998.697757301568</v>
      </c>
      <c r="H11" s="13">
        <f t="shared" si="0"/>
        <v>4.551768623484703</v>
      </c>
      <c r="I11" s="14">
        <f>$H$12*E11-G11</f>
        <v>-4567.6344437502958</v>
      </c>
      <c r="J11" s="18">
        <f>J10</f>
        <v>1.4927026378789923</v>
      </c>
      <c r="K11" s="16">
        <f>J11*$D$14</f>
        <v>21993.480666509073</v>
      </c>
      <c r="L11" s="16">
        <f>G11-K11</f>
        <v>5.2170907924955827</v>
      </c>
      <c r="M11" s="16">
        <f>(IF($E$18=INTERCEPT($G$7:$G$11,$E$7:$E$11)/$D$14,LINEST($L$7:$L$11,$E$7:$E$11),(SUM($L$7:$L$11)/(SUM($E$7:$E$11)))))*E11</f>
        <v>5.1654052201239935</v>
      </c>
      <c r="N11" s="17">
        <f>K11+M11-G11</f>
        <v>-5.1685572372662136E-2</v>
      </c>
    </row>
    <row r="12" spans="1:15" ht="15.75" thickTop="1" x14ac:dyDescent="0.25">
      <c r="C12" s="20" t="s">
        <v>16</v>
      </c>
      <c r="D12" s="21">
        <f>AVERAGE(D7:D11)</f>
        <v>30821</v>
      </c>
      <c r="E12" s="21">
        <f>AVERAGE(E7:E11)</f>
        <v>6099.8</v>
      </c>
      <c r="F12" s="21">
        <f>AVERAGE(F7:F11)</f>
        <v>2377.8951673587449</v>
      </c>
      <c r="G12" s="21">
        <f>AVERAGE(G7:G11)</f>
        <v>22000.000000000011</v>
      </c>
      <c r="H12" s="22">
        <f t="shared" si="0"/>
        <v>3.6066756287091395</v>
      </c>
      <c r="I12" s="23"/>
      <c r="J12" s="24"/>
      <c r="K12" s="25"/>
      <c r="L12" s="25"/>
      <c r="M12" s="25"/>
      <c r="N12" s="26"/>
    </row>
    <row r="13" spans="1:15" ht="15.75" thickBot="1" x14ac:dyDescent="0.3">
      <c r="C13" s="27"/>
      <c r="D13" s="28"/>
      <c r="E13" s="28"/>
      <c r="F13" s="28"/>
      <c r="G13" s="29"/>
      <c r="H13" s="30"/>
      <c r="I13" s="19"/>
      <c r="J13" s="19"/>
      <c r="K13" s="19"/>
      <c r="L13" s="19"/>
    </row>
    <row r="14" spans="1:15" ht="15.75" thickBot="1" x14ac:dyDescent="0.3">
      <c r="C14" s="31" t="s">
        <v>17</v>
      </c>
      <c r="D14" s="32">
        <v>14734</v>
      </c>
      <c r="E14" s="33" t="s">
        <v>18</v>
      </c>
      <c r="F14" s="32">
        <f>E12</f>
        <v>6099.8</v>
      </c>
      <c r="G14" s="75"/>
      <c r="H14" s="59"/>
      <c r="I14" s="30"/>
      <c r="J14" s="19"/>
      <c r="K14" s="19"/>
      <c r="L14" s="19"/>
      <c r="M14" s="19"/>
    </row>
    <row r="15" spans="1:15" x14ac:dyDescent="0.25">
      <c r="H15" s="38"/>
    </row>
    <row r="16" spans="1:15" x14ac:dyDescent="0.25">
      <c r="C16" s="34"/>
      <c r="D16" s="34" t="s">
        <v>19</v>
      </c>
      <c r="E16" s="34" t="s">
        <v>20</v>
      </c>
      <c r="F16" s="34" t="s">
        <v>21</v>
      </c>
      <c r="H16" s="38"/>
      <c r="I16" s="35"/>
      <c r="J16" s="80" t="s">
        <v>22</v>
      </c>
      <c r="K16" s="80"/>
      <c r="L16" s="80"/>
      <c r="M16" s="80"/>
    </row>
    <row r="17" spans="3:13" ht="45" x14ac:dyDescent="0.25">
      <c r="C17" s="34"/>
      <c r="D17" s="34" t="s">
        <v>23</v>
      </c>
      <c r="E17" s="34" t="s">
        <v>24</v>
      </c>
      <c r="F17" s="34" t="s">
        <v>25</v>
      </c>
      <c r="I17" s="35"/>
      <c r="J17" s="8" t="s">
        <v>7</v>
      </c>
      <c r="K17" s="8" t="s">
        <v>8</v>
      </c>
      <c r="L17" s="8" t="s">
        <v>9</v>
      </c>
      <c r="M17" s="8" t="s">
        <v>10</v>
      </c>
    </row>
    <row r="18" spans="3:13" ht="30.75" thickBot="1" x14ac:dyDescent="0.3">
      <c r="C18" s="36" t="s">
        <v>26</v>
      </c>
      <c r="D18" s="37">
        <v>0</v>
      </c>
      <c r="E18" s="37">
        <f>IF(AND(INTERCEPT(G7:G11,E7:E11)&lt;AVERAGE(G7:G11),INTERCEPT(G7:G11,E7:E11)/D14&gt;0),(INTERCEPT(G7:G11,E7:E11))/D14,AVERAGE(F7:F11)/D14)</f>
        <v>1.4927026378789923</v>
      </c>
      <c r="F18" s="37">
        <v>1.4930173494767423</v>
      </c>
      <c r="G18" s="38"/>
      <c r="I18" s="39" t="s">
        <v>11</v>
      </c>
      <c r="J18" s="15">
        <f>F18</f>
        <v>1.4930173494767423</v>
      </c>
      <c r="K18" s="16">
        <f>J18*$D$14</f>
        <v>21998.11762719032</v>
      </c>
      <c r="L18" s="16">
        <f>(IF($E$18=INTERCEPT($G$7:$G$11,$E$7:$E$11)/$D$14,LINEST($L$7:$L$11,$E$7:$E$11),(SUM($L$7:$L$11)/(SUM($E$7:$E$11)))))*E7</f>
        <v>6.9962223403541612</v>
      </c>
      <c r="M18" s="17">
        <f>K18+L18-G7</f>
        <v>6.4160922291048337</v>
      </c>
    </row>
    <row r="19" spans="3:13" ht="30.75" thickBot="1" x14ac:dyDescent="0.3">
      <c r="C19" s="36" t="s">
        <v>27</v>
      </c>
      <c r="D19" s="37">
        <f>ROUND(H12,2)</f>
        <v>3.61</v>
      </c>
      <c r="E19" s="37">
        <f>IF(E18=INTERCEPT(G7:G11,E7:E11)/D14,LINEST(L7:L11,E7:E11),(SUM(L7:L11)/(SUM(E7:E11))))</f>
        <v>1.068778237145457E-3</v>
      </c>
      <c r="F19" s="37">
        <f>E19</f>
        <v>1.068778237145457E-3</v>
      </c>
      <c r="G19" s="40"/>
      <c r="H19" s="40"/>
      <c r="I19" s="39" t="s">
        <v>12</v>
      </c>
      <c r="J19" s="15">
        <f>J18</f>
        <v>1.4930173494767423</v>
      </c>
      <c r="K19" s="16">
        <f>J19*$D$14</f>
        <v>21998.11762719032</v>
      </c>
      <c r="L19" s="16">
        <f>(IF($E$18=INTERCEPT($G$7:$G$11,$E$7:$E$11)/$D$14,LINEST($L$7:$L$11,$E$7:$E$11),(SUM($L$7:$L$11)/(SUM($E$7:$E$11)))))*E8</f>
        <v>5.8686613001657042</v>
      </c>
      <c r="M19" s="17">
        <f>K19+L19-G8</f>
        <v>5.2885311889185687</v>
      </c>
    </row>
    <row r="20" spans="3:13" ht="45.75" thickBot="1" x14ac:dyDescent="0.3">
      <c r="C20" s="41" t="s">
        <v>36</v>
      </c>
      <c r="D20" s="42">
        <f>MIN(I7:I11)</f>
        <v>-4567.6344437502958</v>
      </c>
      <c r="E20" s="42">
        <f>MIN(N7:N11)</f>
        <v>-4.6369606812513666</v>
      </c>
      <c r="F20" s="42">
        <f>MIN(M18:M22)</f>
        <v>0</v>
      </c>
      <c r="G20" s="40"/>
      <c r="H20" s="40"/>
      <c r="I20" s="39" t="s">
        <v>13</v>
      </c>
      <c r="J20" s="15">
        <f>J19</f>
        <v>1.4930173494767423</v>
      </c>
      <c r="K20" s="16">
        <f>J20*$D$14</f>
        <v>21998.11762719032</v>
      </c>
      <c r="L20" s="16">
        <f>(IF($E$18=INTERCEPT($G$7:$G$11,$E$7:$E$11)/$D$14,LINEST($L$7:$L$11,$E$7:$E$11),(SUM($L$7:$L$11)/(SUM($E$7:$E$11)))))*E9</f>
        <v>7.0913436034601069</v>
      </c>
      <c r="M20" s="17">
        <f>K20+L20-G9</f>
        <v>0</v>
      </c>
    </row>
    <row r="21" spans="3:13" ht="45.75" thickBot="1" x14ac:dyDescent="0.3">
      <c r="C21" s="36" t="s">
        <v>38</v>
      </c>
      <c r="D21" s="42">
        <f>MAX(I7:I11)</f>
        <v>3226.3915898901541</v>
      </c>
      <c r="E21" s="43">
        <f>MAX(N7:N11)</f>
        <v>2.2579441980997217</v>
      </c>
      <c r="F21" s="43">
        <f>MAX(M18:M22)</f>
        <v>6.8949048793474503</v>
      </c>
      <c r="I21" s="39" t="s">
        <v>14</v>
      </c>
      <c r="J21" s="15">
        <f>J20</f>
        <v>1.4930173494767423</v>
      </c>
      <c r="K21" s="16">
        <f>J21*$D$14</f>
        <v>21998.11762719032</v>
      </c>
      <c r="L21" s="16">
        <f>(IF($E$18=INTERCEPT($G$7:$G$11,$E$7:$E$11)/$D$14,LINEST($L$7:$L$11,$E$7:$E$11),(SUM($L$7:$L$11)/(SUM($E$7:$E$11)))))*E10</f>
        <v>7.4750349905953257</v>
      </c>
      <c r="M21" s="17">
        <f>K21+L21-G10</f>
        <v>6.8949048793474503</v>
      </c>
    </row>
    <row r="22" spans="3:13" ht="45.75" thickBot="1" x14ac:dyDescent="0.3">
      <c r="C22" s="36" t="s">
        <v>37</v>
      </c>
      <c r="D22" s="43">
        <f>AVERAGE(I7:I11)</f>
        <v>-2.1827872842550277E-12</v>
      </c>
      <c r="E22" s="43">
        <f>AVERAGE(N7:N11)</f>
        <v>7.2759576141834263E-13</v>
      </c>
      <c r="F22" s="43">
        <f>AVERAGE(M18:M22)</f>
        <v>4.6369606812491835</v>
      </c>
      <c r="I22" s="44" t="s">
        <v>15</v>
      </c>
      <c r="J22" s="45">
        <f>J21</f>
        <v>1.4930173494767423</v>
      </c>
      <c r="K22" s="46">
        <f>J22*$D$14</f>
        <v>21998.11762719032</v>
      </c>
      <c r="L22" s="46">
        <f>(IF($E$18=INTERCEPT($G$7:$G$11,$E$7:$E$11)/$D$14,LINEST($L$7:$L$11,$E$7:$E$11),(SUM($L$7:$L$11)/(SUM($E$7:$E$11)))))*E11</f>
        <v>5.1654052201239935</v>
      </c>
      <c r="M22" s="47">
        <f>K22+L22-G11</f>
        <v>4.5852751088750665</v>
      </c>
    </row>
    <row r="25" spans="3:13" x14ac:dyDescent="0.25">
      <c r="C25" t="s">
        <v>28</v>
      </c>
    </row>
  </sheetData>
  <mergeCells count="3">
    <mergeCell ref="J5:N5"/>
    <mergeCell ref="J16:M16"/>
    <mergeCell ref="C4:O4"/>
  </mergeCells>
  <conditionalFormatting sqref="D20:F22">
    <cfRule type="cellIs" dxfId="3" priority="2" operator="lessThan">
      <formula>0</formula>
    </cfRule>
  </conditionalFormatting>
  <conditionalFormatting sqref="I7:I11 N7:N11 M18:M22">
    <cfRule type="cellIs" dxfId="2" priority="1" operator="lessThan">
      <formula>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Burdekin DS</vt:lpstr>
      <vt:lpstr>Dawson_QCA</vt:lpstr>
      <vt:lpstr>Bundaberg DS</vt:lpstr>
      <vt:lpstr>Barker Barambah</vt:lpstr>
      <vt:lpstr>Lower Mary</vt:lpstr>
      <vt:lpstr>Mareeba DS</vt:lpstr>
      <vt:lpstr>Bowen Broken</vt:lpstr>
      <vt:lpstr>Eton DS</vt:lpstr>
      <vt:lpstr>Three Moon Creek</vt:lpstr>
      <vt:lpstr>Upper Condamine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Chester</dc:creator>
  <cp:lastModifiedBy>Jim Breene</cp:lastModifiedBy>
  <cp:lastPrinted>2019-08-12T01:25:12Z</cp:lastPrinted>
  <dcterms:created xsi:type="dcterms:W3CDTF">2019-08-12T01:07:05Z</dcterms:created>
  <dcterms:modified xsi:type="dcterms:W3CDTF">2019-11-08T06:18:18Z</dcterms:modified>
</cp:coreProperties>
</file>